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<sst xmlns="http://schemas.openxmlformats.org/spreadsheetml/2006/main" count="168" uniqueCount="113">
  <si>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</si>
  <si>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</si>
  <si>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</si>
  <si>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</si>
  <si>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</si>
  <si>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</si>
  <si>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</si>
  <si>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</si>
  <si>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</si>
  <si>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</si>
  <si>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</si>
  <si>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</si>
  <si>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</si>
  <si>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</si>
  <si>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</si>
  <si>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</si>
  <si>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</si>
  <si>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</si>
  <si>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</si>
  <si>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</si>
  <si>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</si>
  <si>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</si>
  <si>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</si>
  <si>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</si>
  <si>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</si>
  <si>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</si>
  <si>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</si>
  <si>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</si>
  <si>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</si>
  <si>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</si>
  <si>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</si>
  <si>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</si>
  <si>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</si>
  <si>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</si>
  <si>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</si>
  <si>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</si>
  <si>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</si>
  <si>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</si>
  <si>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</si>
  <si>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</si>
  <si>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</si>
  <si>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</si>
  <si>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</si>
  <si>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</si>
  <si>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</si>
  <si>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</si>
  <si>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</si>
  <si>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</si>
  <si>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</si>
  <si>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</si>
  <si>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</si>
  <si>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</si>
  <si>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</si>
  <si>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</si>
  <si>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</si>
  <si>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</si>
  <si>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</si>
  <si>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</si>
  <si>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</si>
  <si>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</si>
  <si>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</si>
  <si>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</si>
  <si>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</si>
  <si>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</si>
  <si>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</si>
  <si>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</si>
  <si>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</si>
  <si>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</si>
  <si>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</si>
  <si>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</si>
  <si>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</si>
  <si>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</si>
  <si>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</si>
  <si>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</si>
  <si>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</si>
  <si>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</si>
  <si>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</si>
  <si>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</si>
  <si>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</si>
  <si>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</si>
  <si>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</si>
  <si>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</si>
  <si>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</si>
  <si>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</si>
  <si>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</si>
  <si>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</si>
  <si>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</si>
  <si>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</si>
  <si>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</si>
  <si>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</si>
  <si>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</si>
  <si>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</si>
  <si>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</si>
  <si>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</si>
  <si>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</si>
  <si>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</si>
  <si>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</si>
  <si>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</si>
  <si>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</si>
  <si>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</si>
  <si>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</si>
  <si>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</si>
  <si>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</si>
  <si>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</si>
  <si>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</si>
  <si>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</si>
  <si>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</si>
  <si>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</si>
  <si>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</si>
  <si>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5 місяців тис.грн.</t>
  </si>
  <si>
    <t>Відхилення від  плану 5 місяців, тис.грн.</t>
  </si>
  <si>
    <t>Відсоток виконання  плану 5 місяців</t>
  </si>
  <si>
    <t>Аналіз використання коштів загального фонду міського бюджету станом на 13.05.2019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</si>
</sst>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3" fillId="35" borderId="12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1"/>
          <c:w val="0.853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209530.8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74711.30000000002</c:v>
                </c:pt>
              </c:numCache>
            </c:numRef>
          </c:val>
          <c:shape val="box"/>
        </c:ser>
        <c:shape val="box"/>
        <c:axId val="6639833"/>
        <c:axId val="59758498"/>
      </c:bar3DChart>
      <c:catAx>
        <c:axId val="6639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758498"/>
        <c:crosses val="autoZero"/>
        <c:auto val="1"/>
        <c:lblOffset val="100"/>
        <c:tickLblSkip val="1"/>
        <c:noMultiLvlLbl val="0"/>
      </c:catAx>
      <c:valAx>
        <c:axId val="59758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98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775"/>
          <c:w val="0.8435"/>
          <c:h val="0.71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920134.2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327278.09999999986</c:v>
                </c:pt>
              </c:numCache>
            </c:numRef>
          </c:val>
          <c:shape val="box"/>
        </c:ser>
        <c:shape val="box"/>
        <c:axId val="955571"/>
        <c:axId val="8600140"/>
      </c:bar3DChart>
      <c:catAx>
        <c:axId val="955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00140"/>
        <c:crosses val="autoZero"/>
        <c:auto val="1"/>
        <c:lblOffset val="100"/>
        <c:tickLblSkip val="1"/>
        <c:noMultiLvlLbl val="0"/>
      </c:catAx>
      <c:valAx>
        <c:axId val="8600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55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2"/>
          <c:w val="0.9295"/>
          <c:h val="0.6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417955.80000000005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146259.69999999992</c:v>
                </c:pt>
              </c:numCache>
            </c:numRef>
          </c:val>
          <c:shape val="box"/>
        </c:ser>
        <c:shape val="box"/>
        <c:axId val="10292397"/>
        <c:axId val="25522710"/>
      </c:bar3DChart>
      <c:catAx>
        <c:axId val="1029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22710"/>
        <c:crosses val="autoZero"/>
        <c:auto val="1"/>
        <c:lblOffset val="100"/>
        <c:tickLblSkip val="1"/>
        <c:noMultiLvlLbl val="0"/>
      </c:catAx>
      <c:valAx>
        <c:axId val="25522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92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26882.8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8949.8</c:v>
                </c:pt>
              </c:numCache>
            </c:numRef>
          </c:val>
          <c:shape val="box"/>
        </c:ser>
        <c:shape val="box"/>
        <c:axId val="28377799"/>
        <c:axId val="54073600"/>
      </c:bar3DChart>
      <c:catAx>
        <c:axId val="2837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073600"/>
        <c:crosses val="autoZero"/>
        <c:auto val="1"/>
        <c:lblOffset val="100"/>
        <c:tickLblSkip val="1"/>
        <c:noMultiLvlLbl val="0"/>
      </c:catAx>
      <c:valAx>
        <c:axId val="54073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777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42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52953.8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15225.3</c:v>
                </c:pt>
              </c:numCache>
            </c:numRef>
          </c:val>
          <c:shape val="box"/>
        </c:ser>
        <c:shape val="box"/>
        <c:axId val="16900353"/>
        <c:axId val="17885450"/>
      </c:bar3DChart>
      <c:catAx>
        <c:axId val="1690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85450"/>
        <c:crosses val="autoZero"/>
        <c:auto val="1"/>
        <c:lblOffset val="100"/>
        <c:tickLblSkip val="2"/>
        <c:noMultiLvlLbl val="0"/>
      </c:catAx>
      <c:valAx>
        <c:axId val="178854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003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425"/>
          <c:w val="0.8775"/>
          <c:h val="0.68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1557.9999999999998</c:v>
                </c:pt>
              </c:numCache>
            </c:numRef>
          </c:val>
          <c:shape val="box"/>
        </c:ser>
        <c:shape val="box"/>
        <c:axId val="26751323"/>
        <c:axId val="39435316"/>
      </c:bar3DChart>
      <c:catAx>
        <c:axId val="26751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35316"/>
        <c:crosses val="autoZero"/>
        <c:auto val="1"/>
        <c:lblOffset val="100"/>
        <c:tickLblSkip val="1"/>
        <c:noMultiLvlLbl val="0"/>
      </c:catAx>
      <c:valAx>
        <c:axId val="39435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513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025"/>
          <c:w val="0.85275"/>
          <c:h val="0.72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133739.1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32299.69999999999</c:v>
                </c:pt>
              </c:numCache>
            </c:numRef>
          </c:val>
          <c:shape val="box"/>
        </c:ser>
        <c:shape val="box"/>
        <c:axId val="19373525"/>
        <c:axId val="40143998"/>
      </c:bar3DChart>
      <c:catAx>
        <c:axId val="1937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143998"/>
        <c:crosses val="autoZero"/>
        <c:auto val="1"/>
        <c:lblOffset val="100"/>
        <c:tickLblSkip val="1"/>
        <c:noMultiLvlLbl val="0"/>
      </c:catAx>
      <c:valAx>
        <c:axId val="40143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73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5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85"/>
          <c:w val="0.85125"/>
          <c:h val="0.5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920134.2</c:v>
                </c:pt>
                <c:pt idx="1">
                  <c:v>417955.80000000005</c:v>
                </c:pt>
                <c:pt idx="2">
                  <c:v>26882.8</c:v>
                </c:pt>
                <c:pt idx="3">
                  <c:v>52953.8</c:v>
                </c:pt>
                <c:pt idx="4">
                  <c:v>10268.5</c:v>
                </c:pt>
                <c:pt idx="5">
                  <c:v>209530.8</c:v>
                </c:pt>
                <c:pt idx="6">
                  <c:v>133739.1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327278.09999999986</c:v>
                </c:pt>
                <c:pt idx="1">
                  <c:v>146259.69999999992</c:v>
                </c:pt>
                <c:pt idx="2">
                  <c:v>8949.8</c:v>
                </c:pt>
                <c:pt idx="3">
                  <c:v>15225.3</c:v>
                </c:pt>
                <c:pt idx="4">
                  <c:v>1557.9999999999998</c:v>
                </c:pt>
                <c:pt idx="5">
                  <c:v>74711.30000000002</c:v>
                </c:pt>
                <c:pt idx="6">
                  <c:v>32299.69999999999</c:v>
                </c:pt>
              </c:numCache>
            </c:numRef>
          </c:val>
          <c:shape val="box"/>
        </c:ser>
        <c:shape val="box"/>
        <c:axId val="25751663"/>
        <c:axId val="30438376"/>
      </c:bar3DChart>
      <c:catAx>
        <c:axId val="25751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38376"/>
        <c:crosses val="autoZero"/>
        <c:auto val="1"/>
        <c:lblOffset val="100"/>
        <c:tickLblSkip val="1"/>
        <c:noMultiLvlLbl val="0"/>
      </c:catAx>
      <c:valAx>
        <c:axId val="30438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51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88"/>
          <c:w val="0.84125"/>
          <c:h val="0.4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125182.7</c:v>
                </c:pt>
                <c:pt idx="2">
                  <c:v>48135.3</c:v>
                </c:pt>
                <c:pt idx="3">
                  <c:v>89055.8</c:v>
                </c:pt>
                <c:pt idx="4">
                  <c:v>122.9</c:v>
                </c:pt>
                <c:pt idx="5">
                  <c:v>1257335.2000000004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343914</c:v>
                </c:pt>
                <c:pt idx="1">
                  <c:v>54844.19999999999</c:v>
                </c:pt>
                <c:pt idx="2">
                  <c:v>19904.6</c:v>
                </c:pt>
                <c:pt idx="3">
                  <c:v>25884.6</c:v>
                </c:pt>
                <c:pt idx="4">
                  <c:v>36.599999999999994</c:v>
                </c:pt>
                <c:pt idx="5">
                  <c:v>381248.88516999973</c:v>
                </c:pt>
              </c:numCache>
            </c:numRef>
          </c:val>
          <c:shape val="box"/>
        </c:ser>
        <c:shape val="box"/>
        <c:axId val="5509929"/>
        <c:axId val="49589362"/>
      </c:bar3DChart>
      <c:catAx>
        <c:axId val="5509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89362"/>
        <c:crosses val="autoZero"/>
        <c:auto val="1"/>
        <c:lblOffset val="100"/>
        <c:tickLblSkip val="1"/>
        <c:noMultiLvlLbl val="0"/>
      </c:catAx>
      <c:valAx>
        <c:axId val="495893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99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B5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1" sqref="D61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9.125" style="130" customWidth="1"/>
    <col min="13" max="13" width="11.375" style="130" bestFit="1" customWidth="1"/>
    <col min="14" max="16384" width="9.125" style="130" customWidth="1"/>
  </cols>
  <sheetData>
    <row r="1" spans="1:9" ht="30">
      <c r="A1" s="158" t="s">
        <v>112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9" t="s">
        <v>38</v>
      </c>
      <c r="B3" s="162" t="s">
        <v>109</v>
      </c>
      <c r="C3" s="165" t="s">
        <v>103</v>
      </c>
      <c r="D3" s="165" t="s">
        <v>20</v>
      </c>
      <c r="E3" s="165" t="s">
        <v>19</v>
      </c>
      <c r="F3" s="165" t="s">
        <v>111</v>
      </c>
      <c r="G3" s="165" t="s">
        <v>105</v>
      </c>
      <c r="H3" s="165" t="s">
        <v>110</v>
      </c>
      <c r="I3" s="165" t="s">
        <v>104</v>
      </c>
    </row>
    <row r="4" spans="1:9" ht="24.75" customHeight="1">
      <c r="A4" s="160"/>
      <c r="B4" s="163"/>
      <c r="C4" s="166"/>
      <c r="D4" s="166"/>
      <c r="E4" s="166"/>
      <c r="F4" s="166"/>
      <c r="G4" s="166"/>
      <c r="H4" s="166"/>
      <c r="I4" s="166"/>
    </row>
    <row r="5" spans="1:10" ht="39" customHeight="1" thickBot="1">
      <c r="A5" s="161"/>
      <c r="B5" s="164"/>
      <c r="C5" s="167"/>
      <c r="D5" s="167"/>
      <c r="E5" s="167"/>
      <c r="F5" s="167"/>
      <c r="G5" s="167"/>
      <c r="H5" s="167"/>
      <c r="I5" s="167"/>
      <c r="J5" s="135"/>
    </row>
    <row r="6" spans="1:12" ht="18.75" thickBot="1">
      <c r="A6" s="18" t="s">
        <v>24</v>
      </c>
      <c r="B6" s="34">
        <f>329342.2+7.6+105688.5-577.8</f>
        <v>434460.5</v>
      </c>
      <c r="C6" s="35">
        <f>913995.7+3.2+21.3+6054.6-0.1+7.6+51.9</f>
        <v>920134.2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</f>
        <v>327278.09999999986</v>
      </c>
      <c r="E6" s="3">
        <f>D6/D156*100</f>
        <v>39.63006388788076</v>
      </c>
      <c r="F6" s="3">
        <f>D6/B6*100</f>
        <v>75.32977106089042</v>
      </c>
      <c r="G6" s="3">
        <f aca="true" t="shared" si="0" ref="G6:G43">D6/C6*100</f>
        <v>35.56851815746006</v>
      </c>
      <c r="H6" s="36">
        <f aca="true" t="shared" si="1" ref="H6:H12">B6-D6</f>
        <v>107182.40000000014</v>
      </c>
      <c r="I6" s="36">
        <f aca="true" t="shared" si="2" ref="I6:I43">C6-D6</f>
        <v>592856.1000000001</v>
      </c>
      <c r="J6" s="135"/>
      <c r="L6" s="136">
        <f>H6-H7</f>
        <v>72356.60000000015</v>
      </c>
    </row>
    <row r="7" spans="1:9" s="84" customFormat="1" ht="18.75">
      <c r="A7" s="121" t="s">
        <v>79</v>
      </c>
      <c r="B7" s="122">
        <f>92081.6+45313.7</f>
        <v>137395.3</v>
      </c>
      <c r="C7" s="123">
        <f>298956.2+3.2</f>
        <v>298959.4</v>
      </c>
      <c r="D7" s="124">
        <f>12060.7+9623.1+1044.7+273.5+10510.2+12398.6+40.7+10550.7+12514+8.7+10597.9+12396.7+14.3-11.2+14.3+10532.6</f>
        <v>102569.5</v>
      </c>
      <c r="E7" s="125">
        <f>D7/D6*100</f>
        <v>31.340166054496176</v>
      </c>
      <c r="F7" s="125">
        <f>D7/B7*100</f>
        <v>74.65284474796445</v>
      </c>
      <c r="G7" s="125">
        <f>D7/C7*100</f>
        <v>34.30883926044807</v>
      </c>
      <c r="H7" s="124">
        <f t="shared" si="1"/>
        <v>34825.79999999999</v>
      </c>
      <c r="I7" s="124">
        <f t="shared" si="2"/>
        <v>196389.90000000002</v>
      </c>
    </row>
    <row r="8" spans="1:9" s="135" customFormat="1" ht="18">
      <c r="A8" s="89" t="s">
        <v>3</v>
      </c>
      <c r="B8" s="108">
        <f>235489.2+93525.9-102.7</f>
        <v>328912.39999999997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</f>
        <v>252126.59999999998</v>
      </c>
      <c r="E8" s="93">
        <f>D8/D6*100</f>
        <v>77.03741863571075</v>
      </c>
      <c r="F8" s="93">
        <f>D8/B8*100</f>
        <v>76.65463509432907</v>
      </c>
      <c r="G8" s="93">
        <f t="shared" si="0"/>
        <v>34.56430132503987</v>
      </c>
      <c r="H8" s="91">
        <f t="shared" si="1"/>
        <v>76785.79999999999</v>
      </c>
      <c r="I8" s="91">
        <f t="shared" si="2"/>
        <v>477315.6</v>
      </c>
    </row>
    <row r="9" spans="1:9" s="135" customFormat="1" ht="18">
      <c r="A9" s="89" t="s">
        <v>2</v>
      </c>
      <c r="B9" s="108">
        <f>51.7</f>
        <v>51.7</v>
      </c>
      <c r="C9" s="109">
        <v>104.9</v>
      </c>
      <c r="D9" s="91">
        <f>16.3+0.9+0.3+8.7+9.7+0.3+0.4</f>
        <v>36.599999999999994</v>
      </c>
      <c r="E9" s="110">
        <f>D9/D6*100</f>
        <v>0.011183149743291716</v>
      </c>
      <c r="F9" s="93">
        <f>D9/B9*100</f>
        <v>70.79303675048354</v>
      </c>
      <c r="G9" s="93">
        <f t="shared" si="0"/>
        <v>34.890371782650135</v>
      </c>
      <c r="H9" s="91">
        <f t="shared" si="1"/>
        <v>15.100000000000009</v>
      </c>
      <c r="I9" s="91">
        <f t="shared" si="2"/>
        <v>68.30000000000001</v>
      </c>
    </row>
    <row r="10" spans="1:9" s="135" customFormat="1" ht="18">
      <c r="A10" s="89" t="s">
        <v>1</v>
      </c>
      <c r="B10" s="108">
        <f>19056.6+5116.3</f>
        <v>24172.899999999998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</f>
        <v>18816.4</v>
      </c>
      <c r="E10" s="93">
        <f>D10/D6*100</f>
        <v>5.749361170209681</v>
      </c>
      <c r="F10" s="93">
        <f aca="true" t="shared" si="3" ref="F10:F41">D10/B10*100</f>
        <v>77.84088793649087</v>
      </c>
      <c r="G10" s="93">
        <f t="shared" si="0"/>
        <v>43.31603736665454</v>
      </c>
      <c r="H10" s="91">
        <f t="shared" si="1"/>
        <v>5356.499999999996</v>
      </c>
      <c r="I10" s="91">
        <f t="shared" si="2"/>
        <v>24623.4</v>
      </c>
    </row>
    <row r="11" spans="1:9" s="135" customFormat="1" ht="18">
      <c r="A11" s="89" t="s">
        <v>0</v>
      </c>
      <c r="B11" s="108">
        <f>58659.1+1951.1</f>
        <v>60610.2</v>
      </c>
      <c r="C11" s="109">
        <v>98224.3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</f>
        <v>44993.099999999984</v>
      </c>
      <c r="E11" s="93">
        <f>D11/D6*100</f>
        <v>13.747665975816897</v>
      </c>
      <c r="F11" s="93">
        <f t="shared" si="3"/>
        <v>74.2335448488868</v>
      </c>
      <c r="G11" s="93">
        <f t="shared" si="0"/>
        <v>45.806485767778426</v>
      </c>
      <c r="H11" s="91">
        <f t="shared" si="1"/>
        <v>15617.100000000013</v>
      </c>
      <c r="I11" s="91">
        <f t="shared" si="2"/>
        <v>53231.20000000002</v>
      </c>
    </row>
    <row r="12" spans="1:9" s="135" customFormat="1" ht="18">
      <c r="A12" s="89" t="s">
        <v>12</v>
      </c>
      <c r="B12" s="108">
        <v>5827.9</v>
      </c>
      <c r="C12" s="109">
        <f>13016.5-27.3-2</f>
        <v>12987.2</v>
      </c>
      <c r="D12" s="91">
        <f>134.7+863.6+21+169+134.3+503.1+242.3+376.7+419.7+11.5+196.3+194.7+350.5+128.8+306+205.9</f>
        <v>4258.099999999999</v>
      </c>
      <c r="E12" s="93">
        <f>D12/D6*100</f>
        <v>1.3010647519647667</v>
      </c>
      <c r="F12" s="93">
        <f t="shared" si="3"/>
        <v>73.06405394739099</v>
      </c>
      <c r="G12" s="93">
        <f t="shared" si="0"/>
        <v>32.786897868670685</v>
      </c>
      <c r="H12" s="91">
        <f t="shared" si="1"/>
        <v>1569.8000000000002</v>
      </c>
      <c r="I12" s="91">
        <f t="shared" si="2"/>
        <v>8729.100000000002</v>
      </c>
    </row>
    <row r="13" spans="1:9" s="135" customFormat="1" ht="18.75" thickBot="1">
      <c r="A13" s="89" t="s">
        <v>25</v>
      </c>
      <c r="B13" s="109">
        <f>B6-B8-B9-B10-B11-B12</f>
        <v>14885.400000000047</v>
      </c>
      <c r="C13" s="109">
        <f>C6-C8-C9-C10-C11-C12</f>
        <v>35935.79999999999</v>
      </c>
      <c r="D13" s="109">
        <f>D6-D8-D9-D10-D11-D12</f>
        <v>7047.299999999893</v>
      </c>
      <c r="E13" s="93">
        <f>D13/D6*100</f>
        <v>2.153306316554605</v>
      </c>
      <c r="F13" s="93">
        <f t="shared" si="3"/>
        <v>47.343705913175796</v>
      </c>
      <c r="G13" s="93">
        <f t="shared" si="0"/>
        <v>19.61080593725448</v>
      </c>
      <c r="H13" s="91">
        <f aca="true" t="shared" si="4" ref="H13:H44">B13-D13</f>
        <v>7838.100000000154</v>
      </c>
      <c r="I13" s="91">
        <f t="shared" si="2"/>
        <v>28888.500000000095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v>184800.9</v>
      </c>
      <c r="C18" s="35">
        <f>417020.2+71.9+897.7-0.1-33.9</f>
        <v>417955.80000000005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</f>
        <v>146259.69999999992</v>
      </c>
      <c r="E18" s="3">
        <f>D18/D156*100</f>
        <v>17.71056864245507</v>
      </c>
      <c r="F18" s="3">
        <f>D18/B18*100</f>
        <v>79.14447386349305</v>
      </c>
      <c r="G18" s="3">
        <f t="shared" si="0"/>
        <v>34.99405918042049</v>
      </c>
      <c r="H18" s="156">
        <f t="shared" si="4"/>
        <v>38541.20000000007</v>
      </c>
      <c r="I18" s="36">
        <f t="shared" si="2"/>
        <v>271696.1000000001</v>
      </c>
      <c r="J18" s="135"/>
      <c r="L18" s="136">
        <f>H18-H19</f>
        <v>31603.200000000055</v>
      </c>
    </row>
    <row r="19" spans="1:9" s="84" customFormat="1" ht="18.75">
      <c r="A19" s="121" t="s">
        <v>80</v>
      </c>
      <c r="B19" s="122">
        <v>85390.3</v>
      </c>
      <c r="C19" s="123">
        <f>204458.2+897.7</f>
        <v>205355.90000000002</v>
      </c>
      <c r="D19" s="124">
        <f>9880.4+236.6+6921+499.9+9964.9+430.2+258.6+5793.8+50.4+1023.5+21.4+9702.8+983.7+1447.3+3314.6+585.3+0.7+743.9+7774.7+2133.2+803.2+33.9+1127+4421.6+78.6+109.2-187.8+369.6+7895.9+2034.2</f>
        <v>78452.29999999999</v>
      </c>
      <c r="E19" s="125">
        <f>D19/D18*100</f>
        <v>53.639040692685704</v>
      </c>
      <c r="F19" s="125">
        <f t="shared" si="3"/>
        <v>91.87495535207158</v>
      </c>
      <c r="G19" s="125">
        <f t="shared" si="0"/>
        <v>38.20309034218154</v>
      </c>
      <c r="H19" s="124">
        <f t="shared" si="4"/>
        <v>6938.000000000015</v>
      </c>
      <c r="I19" s="124">
        <f t="shared" si="2"/>
        <v>126903.60000000003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363.4</v>
      </c>
      <c r="C24" s="109">
        <v>999.4</v>
      </c>
      <c r="D24" s="91">
        <v>199.2</v>
      </c>
      <c r="E24" s="93">
        <f>D24/D18*100</f>
        <v>0.13619609502822724</v>
      </c>
      <c r="F24" s="93">
        <f t="shared" si="3"/>
        <v>54.81563015960374</v>
      </c>
      <c r="G24" s="93">
        <f t="shared" si="0"/>
        <v>19.931959175505305</v>
      </c>
      <c r="H24" s="91">
        <f t="shared" si="4"/>
        <v>164.2</v>
      </c>
      <c r="I24" s="91">
        <f t="shared" si="2"/>
        <v>800.2</v>
      </c>
    </row>
    <row r="25" spans="1:9" s="135" customFormat="1" ht="18.75" thickBot="1">
      <c r="A25" s="89" t="s">
        <v>25</v>
      </c>
      <c r="B25" s="109">
        <f>B18-B24</f>
        <v>184437.5</v>
      </c>
      <c r="C25" s="109">
        <f>C18-C24</f>
        <v>416956.4</v>
      </c>
      <c r="D25" s="109">
        <f>D18-D24</f>
        <v>146060.4999999999</v>
      </c>
      <c r="E25" s="93">
        <f>D25/D18*100</f>
        <v>99.86380390497176</v>
      </c>
      <c r="F25" s="93">
        <f t="shared" si="3"/>
        <v>79.19240935276173</v>
      </c>
      <c r="G25" s="93">
        <f t="shared" si="0"/>
        <v>35.03016142695014</v>
      </c>
      <c r="H25" s="91">
        <f t="shared" si="4"/>
        <v>38377.00000000009</v>
      </c>
      <c r="I25" s="91">
        <f t="shared" si="2"/>
        <v>270895.90000000014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v>11498.3</v>
      </c>
      <c r="C33" s="35">
        <f>26954.8-20-52</f>
        <v>26882.8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</f>
        <v>8949.8</v>
      </c>
      <c r="E33" s="3">
        <f>D33/D156*100</f>
        <v>1.0837301542136655</v>
      </c>
      <c r="F33" s="3">
        <f>D33/B33*100</f>
        <v>77.83585399580808</v>
      </c>
      <c r="G33" s="155">
        <f t="shared" si="0"/>
        <v>33.2919189965331</v>
      </c>
      <c r="H33" s="156">
        <f t="shared" si="4"/>
        <v>2548.5</v>
      </c>
      <c r="I33" s="36">
        <f t="shared" si="2"/>
        <v>17933</v>
      </c>
      <c r="J33" s="135"/>
    </row>
    <row r="34" spans="1:9" s="135" customFormat="1" ht="18">
      <c r="A34" s="89" t="s">
        <v>3</v>
      </c>
      <c r="B34" s="108">
        <f>4597.1+1249</f>
        <v>5846.1</v>
      </c>
      <c r="C34" s="109">
        <v>14255.8</v>
      </c>
      <c r="D34" s="91">
        <f>95.5+254.3+520.9+145.6+77.4+290.2+14+629.4+494.6+11.4+607.6+26.4+384.9+103.2+27.1+151.5+461.6+16.4+14.3-0.2+100.6+400.5</f>
        <v>4827.200000000001</v>
      </c>
      <c r="E34" s="93">
        <f>D34/D33*100</f>
        <v>53.93640081342601</v>
      </c>
      <c r="F34" s="93">
        <f t="shared" si="3"/>
        <v>82.57128684079986</v>
      </c>
      <c r="G34" s="93">
        <f t="shared" si="0"/>
        <v>33.86130557387169</v>
      </c>
      <c r="H34" s="91">
        <f t="shared" si="4"/>
        <v>1018.8999999999996</v>
      </c>
      <c r="I34" s="91">
        <f t="shared" si="2"/>
        <v>9428.599999999999</v>
      </c>
    </row>
    <row r="35" spans="1:9" s="135" customFormat="1" ht="18">
      <c r="A35" s="89" t="s">
        <v>1</v>
      </c>
      <c r="B35" s="108">
        <f>22.5+1.9+27.5</f>
        <v>51.9</v>
      </c>
      <c r="C35" s="109">
        <v>87.1</v>
      </c>
      <c r="D35" s="91">
        <f>10+2+7.5+3+1.9+26.2</f>
        <v>50.599999999999994</v>
      </c>
      <c r="E35" s="93">
        <f>D35/D33*100</f>
        <v>0.5653757625868734</v>
      </c>
      <c r="F35" s="93">
        <f t="shared" si="3"/>
        <v>97.49518304431598</v>
      </c>
      <c r="G35" s="93">
        <f t="shared" si="0"/>
        <v>58.09414466130883</v>
      </c>
      <c r="H35" s="91">
        <f t="shared" si="4"/>
        <v>1.3000000000000043</v>
      </c>
      <c r="I35" s="91">
        <f t="shared" si="2"/>
        <v>36.5</v>
      </c>
    </row>
    <row r="36" spans="1:9" s="135" customFormat="1" ht="18">
      <c r="A36" s="89" t="s">
        <v>0</v>
      </c>
      <c r="B36" s="108">
        <f>1124.3+20.4</f>
        <v>1144.7</v>
      </c>
      <c r="C36" s="109">
        <v>2087.8</v>
      </c>
      <c r="D36" s="91">
        <f>1.1+273.8+98.4+76.8+0.5+2.1+0.3+6.6+52.2+342.8+0.4+3.3</f>
        <v>858.3000000000001</v>
      </c>
      <c r="E36" s="93">
        <f>D36/D33*100</f>
        <v>9.590158439294735</v>
      </c>
      <c r="F36" s="93">
        <f t="shared" si="3"/>
        <v>74.98034419498559</v>
      </c>
      <c r="G36" s="93">
        <f t="shared" si="0"/>
        <v>41.110259603410285</v>
      </c>
      <c r="H36" s="91">
        <f t="shared" si="4"/>
        <v>286.4</v>
      </c>
      <c r="I36" s="91">
        <f t="shared" si="2"/>
        <v>1229.5</v>
      </c>
    </row>
    <row r="37" spans="1:9" s="84" customFormat="1" ht="18.75">
      <c r="A37" s="149" t="s">
        <v>7</v>
      </c>
      <c r="B37" s="119">
        <v>337.8</v>
      </c>
      <c r="C37" s="120">
        <v>1082.6</v>
      </c>
      <c r="D37" s="94">
        <f>38.7+2+2.3+2.6+2.1+1.9+12.2+7.5+2.4+10+18.2+1.9+7.4-0.2+35+64.9</f>
        <v>208.9</v>
      </c>
      <c r="E37" s="96">
        <f>D37/D33*100</f>
        <v>2.3341303716284165</v>
      </c>
      <c r="F37" s="96">
        <f t="shared" si="3"/>
        <v>61.841326228537596</v>
      </c>
      <c r="G37" s="96">
        <f t="shared" si="0"/>
        <v>19.296138924810645</v>
      </c>
      <c r="H37" s="87">
        <f t="shared" si="4"/>
        <v>128.9</v>
      </c>
      <c r="I37" s="94">
        <f t="shared" si="2"/>
        <v>873.6999999999999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</f>
        <v>51</v>
      </c>
      <c r="E38" s="93">
        <f>D38/D33*100</f>
        <v>0.569845136204161</v>
      </c>
      <c r="F38" s="93">
        <f t="shared" si="3"/>
        <v>44.93392070484582</v>
      </c>
      <c r="G38" s="93">
        <f t="shared" si="0"/>
        <v>24.938875305623473</v>
      </c>
      <c r="H38" s="91">
        <f t="shared" si="4"/>
        <v>62.5</v>
      </c>
      <c r="I38" s="91">
        <f t="shared" si="2"/>
        <v>153.5</v>
      </c>
    </row>
    <row r="39" spans="1:9" s="135" customFormat="1" ht="18.75" thickBot="1">
      <c r="A39" s="89" t="s">
        <v>25</v>
      </c>
      <c r="B39" s="108">
        <f>B33-B34-B36-B37-B35-B38</f>
        <v>4004.2999999999993</v>
      </c>
      <c r="C39" s="108">
        <f>C33-C34-C36-C37-C35-C38</f>
        <v>9165</v>
      </c>
      <c r="D39" s="108">
        <f>D33-D34-D36-D37-D35-D38</f>
        <v>2953.7999999999984</v>
      </c>
      <c r="E39" s="93">
        <f>D39/D33*100</f>
        <v>33.004089476859804</v>
      </c>
      <c r="F39" s="93">
        <f t="shared" si="3"/>
        <v>73.7657018704892</v>
      </c>
      <c r="G39" s="93">
        <f t="shared" si="0"/>
        <v>32.22913256955808</v>
      </c>
      <c r="H39" s="91">
        <f t="shared" si="4"/>
        <v>1050.500000000001</v>
      </c>
      <c r="I39" s="91">
        <f t="shared" si="2"/>
        <v>6211.200000000002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f>307+89</f>
        <v>396</v>
      </c>
      <c r="C43" s="35">
        <f>955.1+25</f>
        <v>980.1</v>
      </c>
      <c r="D43" s="36">
        <f>18+9.7+7.2+11.6+18.4+18.7+25.1+13.5+2.2+2+16.6+22.9+12+21+7.7+15.6+10+15+10+0.1+10.1</f>
        <v>267.4000000000001</v>
      </c>
      <c r="E43" s="3">
        <f>D43/D156*100</f>
        <v>0.03237943230426761</v>
      </c>
      <c r="F43" s="3">
        <f>D43/B43*100</f>
        <v>67.52525252525254</v>
      </c>
      <c r="G43" s="3">
        <f t="shared" si="0"/>
        <v>27.28293031323335</v>
      </c>
      <c r="H43" s="156">
        <f t="shared" si="4"/>
        <v>128.5999999999999</v>
      </c>
      <c r="I43" s="36">
        <f t="shared" si="2"/>
        <v>712.6999999999999</v>
      </c>
      <c r="J43" s="135"/>
    </row>
    <row r="44" spans="1:10" ht="18.75" thickBot="1">
      <c r="A44" s="147" t="s">
        <v>12</v>
      </c>
      <c r="B44" s="143">
        <v>0</v>
      </c>
      <c r="C44" s="144">
        <v>51.5</v>
      </c>
      <c r="D44" s="145">
        <v>0</v>
      </c>
      <c r="E44" s="146">
        <f>D44/D39*100</f>
        <v>0</v>
      </c>
      <c r="F44" s="146" t="e">
        <f>D44/B44*100</f>
        <v>#DIV/0!</v>
      </c>
      <c r="G44" s="146">
        <f>D44/C44*100</f>
        <v>0</v>
      </c>
      <c r="H44" s="91">
        <f t="shared" si="4"/>
        <v>0</v>
      </c>
      <c r="I44" s="145">
        <f>C44-D44</f>
        <v>51.5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f>5620.4+1395.3</f>
        <v>7015.7</v>
      </c>
      <c r="C46" s="35">
        <v>16742.1</v>
      </c>
      <c r="D46" s="36">
        <f>346.4+682.6-0.1+14.1+556.7+0.1+721.1+127.1+71.4+15.4+390.3+13.9+56.1+905.8+4.8+61.3+2.9+439.8+0.3+42+847.9+8.3+402.3+0.1+20.1</f>
        <v>5730.700000000002</v>
      </c>
      <c r="E46" s="3">
        <f>D46/D156*100</f>
        <v>0.6939297408603828</v>
      </c>
      <c r="F46" s="3">
        <f>D46/B46*100</f>
        <v>81.68393745456622</v>
      </c>
      <c r="G46" s="3">
        <f aca="true" t="shared" si="5" ref="G46:G78">D46/C46*100</f>
        <v>34.22927828647542</v>
      </c>
      <c r="H46" s="36">
        <f>B46-D46</f>
        <v>1284.9999999999982</v>
      </c>
      <c r="I46" s="36">
        <f aca="true" t="shared" si="6" ref="I46:I79">C46-D46</f>
        <v>11011.399999999998</v>
      </c>
      <c r="J46" s="135"/>
      <c r="K46" s="135"/>
    </row>
    <row r="47" spans="1:9" s="135" customFormat="1" ht="18">
      <c r="A47" s="89" t="s">
        <v>3</v>
      </c>
      <c r="B47" s="108">
        <f>4866.2+1276.6</f>
        <v>6142.799999999999</v>
      </c>
      <c r="C47" s="109">
        <v>15270.9</v>
      </c>
      <c r="D47" s="91">
        <f>332.5+633.1+14.1+510.1+691.2+14.1+377.2-0.1+896.5+425+839.9+7+383.6+0.2</f>
        <v>5124.4</v>
      </c>
      <c r="E47" s="93">
        <f>D47/D46*100</f>
        <v>89.42014064599435</v>
      </c>
      <c r="F47" s="93">
        <f aca="true" t="shared" si="7" ref="F47:F76">D47/B47*100</f>
        <v>83.42124112782446</v>
      </c>
      <c r="G47" s="93">
        <f t="shared" si="5"/>
        <v>33.556633859170056</v>
      </c>
      <c r="H47" s="91">
        <f aca="true" t="shared" si="8" ref="H47:H76">B47-D47</f>
        <v>1018.3999999999996</v>
      </c>
      <c r="I47" s="91">
        <f t="shared" si="6"/>
        <v>10146.5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/>
      <c r="E48" s="93">
        <f>D48/D46*100</f>
        <v>0</v>
      </c>
      <c r="F48" s="93">
        <f t="shared" si="7"/>
        <v>0</v>
      </c>
      <c r="G48" s="93">
        <f t="shared" si="5"/>
        <v>0</v>
      </c>
      <c r="H48" s="91">
        <f t="shared" si="8"/>
        <v>0.9</v>
      </c>
      <c r="I48" s="91">
        <f t="shared" si="6"/>
        <v>1.6</v>
      </c>
    </row>
    <row r="49" spans="1:9" s="135" customFormat="1" ht="18">
      <c r="A49" s="89" t="s">
        <v>1</v>
      </c>
      <c r="B49" s="108">
        <f>31.5+10.8</f>
        <v>42.3</v>
      </c>
      <c r="C49" s="109">
        <v>106.3</v>
      </c>
      <c r="D49" s="91">
        <f>8.3+10.5+10.2</f>
        <v>29</v>
      </c>
      <c r="E49" s="93">
        <f>D49/D46*100</f>
        <v>0.5060463817683702</v>
      </c>
      <c r="F49" s="93">
        <f t="shared" si="7"/>
        <v>68.55791962174942</v>
      </c>
      <c r="G49" s="93">
        <f t="shared" si="5"/>
        <v>27.281279397930387</v>
      </c>
      <c r="H49" s="91">
        <f t="shared" si="8"/>
        <v>13.299999999999997</v>
      </c>
      <c r="I49" s="91">
        <f t="shared" si="6"/>
        <v>77.3</v>
      </c>
    </row>
    <row r="50" spans="1:9" s="135" customFormat="1" ht="18">
      <c r="A50" s="89" t="s">
        <v>0</v>
      </c>
      <c r="B50" s="108">
        <f>614.3+74.9</f>
        <v>689.1999999999999</v>
      </c>
      <c r="C50" s="109">
        <v>998.4</v>
      </c>
      <c r="D50" s="91">
        <f>13.9+43.7+37.9+3.3+112.6+65.7+2.1+15.6+56.1+2.7+37.7+0.1+42+5.3+1.3+11.6+20.1</f>
        <v>471.7000000000001</v>
      </c>
      <c r="E50" s="93">
        <f>D50/D46*100</f>
        <v>8.231106147591044</v>
      </c>
      <c r="F50" s="93">
        <f t="shared" si="7"/>
        <v>68.44167150319213</v>
      </c>
      <c r="G50" s="93">
        <f t="shared" si="5"/>
        <v>47.24559294871796</v>
      </c>
      <c r="H50" s="91">
        <f t="shared" si="8"/>
        <v>217.49999999999983</v>
      </c>
      <c r="I50" s="91">
        <f t="shared" si="6"/>
        <v>526.6999999999998</v>
      </c>
    </row>
    <row r="51" spans="1:9" s="135" customFormat="1" ht="18.75" thickBot="1">
      <c r="A51" s="89" t="s">
        <v>25</v>
      </c>
      <c r="B51" s="109">
        <f>B46-B47-B50-B49-B48</f>
        <v>140.5000000000006</v>
      </c>
      <c r="C51" s="109">
        <f>C46-C47-C50-C49-C48</f>
        <v>364.8999999999989</v>
      </c>
      <c r="D51" s="109">
        <f>D46-D47-D50-D49-D48</f>
        <v>105.6000000000019</v>
      </c>
      <c r="E51" s="93">
        <f>D51/D46*100</f>
        <v>1.8427068246462361</v>
      </c>
      <c r="F51" s="93">
        <f t="shared" si="7"/>
        <v>75.16014234875547</v>
      </c>
      <c r="G51" s="93">
        <f t="shared" si="5"/>
        <v>28.939435461770955</v>
      </c>
      <c r="H51" s="91">
        <f t="shared" si="8"/>
        <v>34.8999999999987</v>
      </c>
      <c r="I51" s="91">
        <f t="shared" si="6"/>
        <v>259.299999999997</v>
      </c>
    </row>
    <row r="52" spans="1:10" ht="18.75" thickBot="1">
      <c r="A52" s="18" t="s">
        <v>4</v>
      </c>
      <c r="B52" s="34">
        <v>23530</v>
      </c>
      <c r="C52" s="35">
        <f>54626.8-33-1640</f>
        <v>52953.8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</f>
        <v>15225.3</v>
      </c>
      <c r="E52" s="3">
        <f>D52/D156*100</f>
        <v>1.8436296584224587</v>
      </c>
      <c r="F52" s="3">
        <f>D52/B52*100</f>
        <v>64.70590735231619</v>
      </c>
      <c r="G52" s="3">
        <f t="shared" si="5"/>
        <v>28.75204423478579</v>
      </c>
      <c r="H52" s="36">
        <f>B52-D52</f>
        <v>8304.7</v>
      </c>
      <c r="I52" s="36">
        <f t="shared" si="6"/>
        <v>37728.5</v>
      </c>
      <c r="J52" s="135"/>
    </row>
    <row r="53" spans="1:9" s="135" customFormat="1" ht="18">
      <c r="A53" s="89" t="s">
        <v>3</v>
      </c>
      <c r="B53" s="108">
        <f>9043.2+2514</f>
        <v>11557.2</v>
      </c>
      <c r="C53" s="109">
        <v>25959.9</v>
      </c>
      <c r="D53" s="91">
        <f>721.7+980.4+865.2+984.4+270.7+792.3+9.9+66.7+1210.9+835.2+313.7+945.1+17.3+739.5</f>
        <v>8753</v>
      </c>
      <c r="E53" s="93">
        <f>D53/D52*100</f>
        <v>57.48983599666345</v>
      </c>
      <c r="F53" s="93">
        <f t="shared" si="7"/>
        <v>75.7363375211989</v>
      </c>
      <c r="G53" s="93">
        <f t="shared" si="5"/>
        <v>33.717387201029275</v>
      </c>
      <c r="H53" s="91">
        <f t="shared" si="8"/>
        <v>2804.2000000000007</v>
      </c>
      <c r="I53" s="91">
        <f t="shared" si="6"/>
        <v>17206.9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v>1865.1</v>
      </c>
      <c r="C55" s="109">
        <f>4332.1-250</f>
        <v>4082.1000000000004</v>
      </c>
      <c r="D55" s="91">
        <f>3.2+7.6+9.6+11.4+10.1+24.7+6.6+7.8+2.3+6.6+70.1+102.1+3.2+185.8+105+116.2+245+84+7.3</f>
        <v>1008.5999999999999</v>
      </c>
      <c r="E55" s="93">
        <f>D55/D52*100</f>
        <v>6.624500009852022</v>
      </c>
      <c r="F55" s="93">
        <f t="shared" si="7"/>
        <v>54.07752935499437</v>
      </c>
      <c r="G55" s="93">
        <f t="shared" si="5"/>
        <v>24.70787094877636</v>
      </c>
      <c r="H55" s="91">
        <f t="shared" si="8"/>
        <v>856.5</v>
      </c>
      <c r="I55" s="91">
        <f t="shared" si="6"/>
        <v>3073.5000000000005</v>
      </c>
    </row>
    <row r="56" spans="1:9" s="135" customFormat="1" ht="18">
      <c r="A56" s="89" t="s">
        <v>0</v>
      </c>
      <c r="B56" s="108">
        <v>735.7</v>
      </c>
      <c r="C56" s="109">
        <f>1406.6+3.9</f>
        <v>1410.5</v>
      </c>
      <c r="D56" s="91">
        <f>0.3+1.2+21.4+80.5+2.4+14.5+22.9+268+5.9+0.1+8.8+0.5+18.5+22.5+0.1+5.1+69.1+23+1.1+16.4</f>
        <v>582.3000000000001</v>
      </c>
      <c r="E56" s="93">
        <f>D56/D52*100</f>
        <v>3.8245551811786966</v>
      </c>
      <c r="F56" s="93">
        <f t="shared" si="7"/>
        <v>79.14910969145032</v>
      </c>
      <c r="G56" s="93">
        <f t="shared" si="5"/>
        <v>41.28323289613613</v>
      </c>
      <c r="H56" s="91">
        <f t="shared" si="8"/>
        <v>153.39999999999998</v>
      </c>
      <c r="I56" s="91">
        <f t="shared" si="6"/>
        <v>828.1999999999999</v>
      </c>
    </row>
    <row r="57" spans="1:9" s="135" customFormat="1" ht="18">
      <c r="A57" s="89" t="s">
        <v>12</v>
      </c>
      <c r="B57" s="108">
        <v>1524</v>
      </c>
      <c r="C57" s="109">
        <f>4640-960</f>
        <v>3680</v>
      </c>
      <c r="D57" s="109">
        <f>227+242+245</f>
        <v>714</v>
      </c>
      <c r="E57" s="93">
        <f>D57/D52*100</f>
        <v>4.689562767236114</v>
      </c>
      <c r="F57" s="93">
        <f>D57/B57*100</f>
        <v>46.8503937007874</v>
      </c>
      <c r="G57" s="93">
        <f>D57/C57*100</f>
        <v>19.402173913043477</v>
      </c>
      <c r="H57" s="91">
        <f t="shared" si="8"/>
        <v>810</v>
      </c>
      <c r="I57" s="91">
        <f t="shared" si="6"/>
        <v>2966</v>
      </c>
    </row>
    <row r="58" spans="1:9" s="135" customFormat="1" ht="18.75" thickBot="1">
      <c r="A58" s="89" t="s">
        <v>25</v>
      </c>
      <c r="B58" s="109">
        <f>B52-B53-B56-B55-B54-B57</f>
        <v>7847.999999999998</v>
      </c>
      <c r="C58" s="109">
        <f>C52-C53-C56-C55-C54-C57</f>
        <v>17804.9</v>
      </c>
      <c r="D58" s="109">
        <f>D52-D53-D56-D55-D54-D57</f>
        <v>4167.4</v>
      </c>
      <c r="E58" s="93">
        <f>D58/D52*100</f>
        <v>27.371546045069717</v>
      </c>
      <c r="F58" s="93">
        <f t="shared" si="7"/>
        <v>53.10142711518859</v>
      </c>
      <c r="G58" s="93">
        <f t="shared" si="5"/>
        <v>23.40591634887025</v>
      </c>
      <c r="H58" s="91">
        <f>B58-D58</f>
        <v>3680.5999999999985</v>
      </c>
      <c r="I58" s="91">
        <f>C58-D58</f>
        <v>13637.500000000002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2490.3</v>
      </c>
      <c r="C60" s="35">
        <v>10268.5</v>
      </c>
      <c r="D60" s="36">
        <f>80.6+106+88.7+4.1+0.3+50.7+49.2+44+180.6+100.8+125+0.6+0.8+205.4-0.2+30.8+60.6+59.8+0.5+2.3+86.2+133.9+48.6-0.1+49.5+49.3</f>
        <v>1557.9999999999998</v>
      </c>
      <c r="E60" s="3">
        <f>D60/D156*100</f>
        <v>0.1886580236725838</v>
      </c>
      <c r="F60" s="3">
        <f>D60/B60*100</f>
        <v>62.562743444564894</v>
      </c>
      <c r="G60" s="3">
        <f t="shared" si="5"/>
        <v>15.172615279739004</v>
      </c>
      <c r="H60" s="36">
        <f>B60-D60</f>
        <v>932.3000000000004</v>
      </c>
      <c r="I60" s="36">
        <f t="shared" si="6"/>
        <v>8710.5</v>
      </c>
      <c r="J60" s="135"/>
    </row>
    <row r="61" spans="1:9" s="135" customFormat="1" ht="18">
      <c r="A61" s="89" t="s">
        <v>3</v>
      </c>
      <c r="B61" s="108">
        <f>1170.2+309</f>
        <v>1479.2</v>
      </c>
      <c r="C61" s="109">
        <v>3626.9</v>
      </c>
      <c r="D61" s="91">
        <f>80.6+106+88.7+4.1+50.7+38.1+180.6+95.6+203.1+54.2+59.8+86.2+109.7+0.1+49.5+34.4</f>
        <v>1241.4</v>
      </c>
      <c r="E61" s="93">
        <f>D61/D60*100</f>
        <v>79.67907573812582</v>
      </c>
      <c r="F61" s="93">
        <f t="shared" si="7"/>
        <v>83.92374256354786</v>
      </c>
      <c r="G61" s="93">
        <f t="shared" si="5"/>
        <v>34.22757726984477</v>
      </c>
      <c r="H61" s="91">
        <f t="shared" si="8"/>
        <v>237.79999999999995</v>
      </c>
      <c r="I61" s="91">
        <f t="shared" si="6"/>
        <v>2385.5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/>
      <c r="E62" s="93">
        <f>D62/D60*100</f>
        <v>0</v>
      </c>
      <c r="F62" s="93">
        <f>D62/B62*100</f>
        <v>0</v>
      </c>
      <c r="G62" s="93">
        <f t="shared" si="5"/>
        <v>0</v>
      </c>
      <c r="H62" s="91">
        <f t="shared" si="8"/>
        <v>420</v>
      </c>
      <c r="I62" s="91">
        <f t="shared" si="6"/>
        <v>420</v>
      </c>
    </row>
    <row r="63" spans="1:9" s="135" customFormat="1" ht="18">
      <c r="A63" s="89" t="s">
        <v>0</v>
      </c>
      <c r="B63" s="108">
        <f>298.6+12.6</f>
        <v>311.20000000000005</v>
      </c>
      <c r="C63" s="109">
        <v>475.3</v>
      </c>
      <c r="D63" s="91">
        <f>9.6+44+118.7+0.1+30.8+0.2+16.8+0.1+13.9</f>
        <v>234.20000000000002</v>
      </c>
      <c r="E63" s="93">
        <f>D63/D60*100</f>
        <v>15.032092426187424</v>
      </c>
      <c r="F63" s="93">
        <f t="shared" si="7"/>
        <v>75.25706940874035</v>
      </c>
      <c r="G63" s="93">
        <f t="shared" si="5"/>
        <v>49.274142646749425</v>
      </c>
      <c r="H63" s="91">
        <f t="shared" si="8"/>
        <v>77.00000000000003</v>
      </c>
      <c r="I63" s="91">
        <f t="shared" si="6"/>
        <v>241.1</v>
      </c>
    </row>
    <row r="64" spans="1:9" s="135" customFormat="1" ht="18">
      <c r="A64" s="89" t="s">
        <v>12</v>
      </c>
      <c r="B64" s="108">
        <v>0</v>
      </c>
      <c r="C64" s="109">
        <v>4848.7</v>
      </c>
      <c r="D64" s="91"/>
      <c r="E64" s="93">
        <f>D64/D60*100</f>
        <v>0</v>
      </c>
      <c r="F64" s="93" t="e">
        <f t="shared" si="7"/>
        <v>#DIV/0!</v>
      </c>
      <c r="G64" s="93">
        <f t="shared" si="5"/>
        <v>0</v>
      </c>
      <c r="H64" s="91">
        <f t="shared" si="8"/>
        <v>0</v>
      </c>
      <c r="I64" s="91">
        <f t="shared" si="6"/>
        <v>4848.7</v>
      </c>
    </row>
    <row r="65" spans="1:9" s="135" customFormat="1" ht="18.75" thickBot="1">
      <c r="A65" s="89" t="s">
        <v>25</v>
      </c>
      <c r="B65" s="109">
        <f>B60-B61-B63-B64-B62</f>
        <v>279.9000000000001</v>
      </c>
      <c r="C65" s="109">
        <f>C60-C61-C63-C64-C62</f>
        <v>897.6000000000004</v>
      </c>
      <c r="D65" s="109">
        <f>D60-D61-D63-D64-D62</f>
        <v>82.39999999999966</v>
      </c>
      <c r="E65" s="93">
        <f>D65/D60*100</f>
        <v>5.288831835686757</v>
      </c>
      <c r="F65" s="93">
        <f t="shared" si="7"/>
        <v>29.439085387638315</v>
      </c>
      <c r="G65" s="93">
        <f t="shared" si="5"/>
        <v>9.180035650623845</v>
      </c>
      <c r="H65" s="91">
        <f t="shared" si="8"/>
        <v>197.50000000000043</v>
      </c>
      <c r="I65" s="91">
        <f t="shared" si="6"/>
        <v>815.2000000000007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280.1</v>
      </c>
      <c r="C70" s="35">
        <f>C71+C72</f>
        <v>473.1</v>
      </c>
      <c r="D70" s="36">
        <f>D71+D72</f>
        <v>197.70000000000002</v>
      </c>
      <c r="E70" s="27">
        <f>D70/D156*100</f>
        <v>0.023939468087336217</v>
      </c>
      <c r="F70" s="3">
        <f>D70/B70*100</f>
        <v>70.581935023206</v>
      </c>
      <c r="G70" s="3">
        <f t="shared" si="5"/>
        <v>41.78820545339252</v>
      </c>
      <c r="H70" s="36">
        <f>B70-D70</f>
        <v>82.4</v>
      </c>
      <c r="I70" s="36">
        <f t="shared" si="6"/>
        <v>275.4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</f>
        <v>167.3</v>
      </c>
      <c r="E71" s="93">
        <f>D71/D70*100</f>
        <v>84.62316641375823</v>
      </c>
      <c r="F71" s="93">
        <f t="shared" si="7"/>
        <v>76.99033594109525</v>
      </c>
      <c r="G71" s="93">
        <f t="shared" si="5"/>
        <v>76.99033594109525</v>
      </c>
      <c r="H71" s="91">
        <f t="shared" si="8"/>
        <v>50</v>
      </c>
      <c r="I71" s="91">
        <f t="shared" si="6"/>
        <v>50</v>
      </c>
    </row>
    <row r="72" spans="1:9" s="135" customFormat="1" ht="21" customHeight="1">
      <c r="A72" s="148" t="s">
        <v>107</v>
      </c>
      <c r="B72" s="108">
        <v>62.8</v>
      </c>
      <c r="C72" s="109">
        <f>396.5-65.8-22.7-7.6-44.6</f>
        <v>255.79999999999998</v>
      </c>
      <c r="D72" s="91">
        <f>0.6+6.4+23.4</f>
        <v>30.4</v>
      </c>
      <c r="E72" s="93">
        <f>D72/D71*100</f>
        <v>18.170950388523607</v>
      </c>
      <c r="F72" s="93">
        <f t="shared" si="7"/>
        <v>48.40764331210191</v>
      </c>
      <c r="G72" s="93">
        <f t="shared" si="5"/>
        <v>11.884284597341674</v>
      </c>
      <c r="H72" s="91">
        <f t="shared" si="8"/>
        <v>32.4</v>
      </c>
      <c r="I72" s="91">
        <f t="shared" si="6"/>
        <v>225.39999999999998</v>
      </c>
    </row>
    <row r="73" spans="1:9" s="135" customFormat="1" ht="18.75" thickBot="1">
      <c r="A73" s="89" t="s">
        <v>46</v>
      </c>
      <c r="B73" s="108">
        <f>23.4</f>
        <v>23.4</v>
      </c>
      <c r="C73" s="109">
        <v>23.4</v>
      </c>
      <c r="D73" s="109">
        <v>23.4</v>
      </c>
      <c r="E73" s="93">
        <f>D73/D72*100</f>
        <v>76.97368421052632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f>3333.3-3233.3</f>
        <v>100</v>
      </c>
      <c r="C79" s="49">
        <f>10000-9900</f>
        <v>100</v>
      </c>
      <c r="D79" s="50"/>
      <c r="E79" s="30"/>
      <c r="F79" s="30"/>
      <c r="G79" s="30"/>
      <c r="H79" s="50">
        <f>B79-D79</f>
        <v>100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v>93669.3</v>
      </c>
      <c r="C92" s="35">
        <f>208452.8+200+77.9-200+1000.1</f>
        <v>209530.8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</f>
        <v>74711.30000000002</v>
      </c>
      <c r="E92" s="3">
        <f>D92/D156*100</f>
        <v>9.046781902445131</v>
      </c>
      <c r="F92" s="3">
        <f aca="true" t="shared" si="11" ref="F92:F98">D92/B92*100</f>
        <v>79.76071135366658</v>
      </c>
      <c r="G92" s="3">
        <f t="shared" si="9"/>
        <v>35.656476279382325</v>
      </c>
      <c r="H92" s="36">
        <f aca="true" t="shared" si="12" ref="H92:H98">B92-D92</f>
        <v>18957.999999999985</v>
      </c>
      <c r="I92" s="36">
        <f t="shared" si="10"/>
        <v>134819.49999999997</v>
      </c>
      <c r="J92" s="135"/>
    </row>
    <row r="93" spans="1:9" s="135" customFormat="1" ht="21.75" customHeight="1">
      <c r="A93" s="89" t="s">
        <v>3</v>
      </c>
      <c r="B93" s="108">
        <v>88193.9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</f>
        <v>70906.49999999999</v>
      </c>
      <c r="E93" s="93">
        <f>D93/D92*100</f>
        <v>94.90732994874934</v>
      </c>
      <c r="F93" s="93">
        <f t="shared" si="11"/>
        <v>80.39841757763291</v>
      </c>
      <c r="G93" s="93">
        <f t="shared" si="9"/>
        <v>36.09222678296561</v>
      </c>
      <c r="H93" s="91">
        <f t="shared" si="12"/>
        <v>17287.40000000001</v>
      </c>
      <c r="I93" s="91">
        <f t="shared" si="10"/>
        <v>125552.70000000003</v>
      </c>
    </row>
    <row r="94" spans="1:9" s="135" customFormat="1" ht="18">
      <c r="A94" s="89" t="s">
        <v>23</v>
      </c>
      <c r="B94" s="157">
        <v>1148.1</v>
      </c>
      <c r="C94" s="109">
        <v>2704.7</v>
      </c>
      <c r="D94" s="91">
        <f>10+5.9+981.6+112.5</f>
        <v>1110</v>
      </c>
      <c r="E94" s="93">
        <f>D94/D92*100</f>
        <v>1.4857190277775916</v>
      </c>
      <c r="F94" s="93">
        <f t="shared" si="11"/>
        <v>96.68147373922133</v>
      </c>
      <c r="G94" s="93">
        <f t="shared" si="9"/>
        <v>41.03967168262655</v>
      </c>
      <c r="H94" s="91">
        <f t="shared" si="12"/>
        <v>38.09999999999991</v>
      </c>
      <c r="I94" s="91">
        <f t="shared" si="10"/>
        <v>1594.6999999999998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4327.300000000008</v>
      </c>
      <c r="C96" s="109">
        <f>C92-C93-C94-C95</f>
        <v>10366.899999999976</v>
      </c>
      <c r="D96" s="109">
        <f>D92-D93-D94-D95</f>
        <v>2694.800000000032</v>
      </c>
      <c r="E96" s="93">
        <f>D96/D92*100</f>
        <v>3.6069510234730644</v>
      </c>
      <c r="F96" s="93">
        <f t="shared" si="11"/>
        <v>62.27439743026891</v>
      </c>
      <c r="G96" s="93">
        <f>D96/C96*100</f>
        <v>25.99427022542938</v>
      </c>
      <c r="H96" s="91">
        <f t="shared" si="12"/>
        <v>1632.4999999999764</v>
      </c>
      <c r="I96" s="91">
        <f>C96-D96</f>
        <v>7672.099999999944</v>
      </c>
    </row>
    <row r="97" spans="1:10" ht="18.75">
      <c r="A97" s="75" t="s">
        <v>10</v>
      </c>
      <c r="B97" s="83">
        <f>37189-185.6+44.8-3000-2000+8855.4</f>
        <v>40903.600000000006</v>
      </c>
      <c r="C97" s="78">
        <f>83543+41100+1904.1+3500+20+3672</f>
        <v>133739.1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</f>
        <v>32299.69999999999</v>
      </c>
      <c r="E97" s="74">
        <f>D97/D156*100</f>
        <v>3.911166602835272</v>
      </c>
      <c r="F97" s="76">
        <f t="shared" si="11"/>
        <v>78.96542113652585</v>
      </c>
      <c r="G97" s="73">
        <f>D97/C97*100</f>
        <v>24.151276627403647</v>
      </c>
      <c r="H97" s="77">
        <f t="shared" si="12"/>
        <v>8603.900000000016</v>
      </c>
      <c r="I97" s="79">
        <f>C97-D97</f>
        <v>101439.40000000002</v>
      </c>
      <c r="J97" s="135"/>
    </row>
    <row r="98" spans="1:9" s="135" customFormat="1" ht="18.75" thickBot="1">
      <c r="A98" s="111" t="s">
        <v>81</v>
      </c>
      <c r="B98" s="112">
        <f>6827.4-1000+1178.5</f>
        <v>7005.9</v>
      </c>
      <c r="C98" s="113">
        <v>16376.6</v>
      </c>
      <c r="D98" s="114">
        <f>101+2.6+598.7+1.6+2603.8+3.8+0.7+1149.5+2.1+129.3+1033.7+0.3+164.7</f>
        <v>5791.800000000001</v>
      </c>
      <c r="E98" s="115">
        <f>D98/D97*100</f>
        <v>17.931435895689443</v>
      </c>
      <c r="F98" s="116">
        <f t="shared" si="11"/>
        <v>82.67032072967072</v>
      </c>
      <c r="G98" s="117">
        <f>D98/C98*100</f>
        <v>35.36631535239305</v>
      </c>
      <c r="H98" s="118">
        <f t="shared" si="12"/>
        <v>1214.0999999999985</v>
      </c>
      <c r="I98" s="107">
        <f>C98-D98</f>
        <v>10584.8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f>29169.9-61.7</f>
        <v>29108.2</v>
      </c>
      <c r="C104" s="65">
        <f>73778+7.6+15.1-60.1+7.6-42.3</f>
        <v>73705.90000000001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</f>
        <v>21397.900000000005</v>
      </c>
      <c r="E104" s="16">
        <f>D104/D156*100</f>
        <v>2.5910690145979345</v>
      </c>
      <c r="F104" s="16">
        <f>D104/B104*100</f>
        <v>73.5115878000014</v>
      </c>
      <c r="G104" s="16">
        <f aca="true" t="shared" si="13" ref="G104:G154">D104/C104*100</f>
        <v>29.03146152478974</v>
      </c>
      <c r="H104" s="61">
        <f aca="true" t="shared" si="14" ref="H104:H154">B104-D104</f>
        <v>7710.299999999996</v>
      </c>
      <c r="I104" s="61">
        <f aca="true" t="shared" si="15" ref="I104:I154">C104-D104</f>
        <v>52308</v>
      </c>
      <c r="J104" s="84"/>
    </row>
    <row r="105" spans="1:9" s="135" customFormat="1" ht="18.75" customHeight="1">
      <c r="A105" s="89" t="s">
        <v>3</v>
      </c>
      <c r="B105" s="100">
        <f>108.7+54.4</f>
        <v>163.1</v>
      </c>
      <c r="C105" s="101">
        <v>543.6</v>
      </c>
      <c r="D105" s="101">
        <f>19.3+40.4</f>
        <v>59.7</v>
      </c>
      <c r="E105" s="102">
        <f>D105/D104*100</f>
        <v>0.27899934105683266</v>
      </c>
      <c r="F105" s="93">
        <f>D105/B105*100</f>
        <v>36.60331085223789</v>
      </c>
      <c r="G105" s="102">
        <f>D105/C105*100</f>
        <v>10.98233995584989</v>
      </c>
      <c r="H105" s="101">
        <f t="shared" si="14"/>
        <v>103.39999999999999</v>
      </c>
      <c r="I105" s="101">
        <f t="shared" si="15"/>
        <v>483.90000000000003</v>
      </c>
    </row>
    <row r="106" spans="1:9" s="135" customFormat="1" ht="18">
      <c r="A106" s="103" t="s">
        <v>46</v>
      </c>
      <c r="B106" s="90">
        <f>25847.3-61.7</f>
        <v>25785.6</v>
      </c>
      <c r="C106" s="91">
        <f>65554.9+7.6+15.1-60.1+45.6-3+37.7</f>
        <v>65597.8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</f>
        <v>20560.1</v>
      </c>
      <c r="E106" s="93">
        <f>D106/D104*100</f>
        <v>96.08466251361112</v>
      </c>
      <c r="F106" s="93">
        <f aca="true" t="shared" si="16" ref="F106:F154">D106/B106*100</f>
        <v>79.73481322908911</v>
      </c>
      <c r="G106" s="93">
        <f t="shared" si="13"/>
        <v>31.34266697968529</v>
      </c>
      <c r="H106" s="91">
        <f t="shared" si="14"/>
        <v>5225.5</v>
      </c>
      <c r="I106" s="91">
        <f t="shared" si="15"/>
        <v>45037.700000000004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3159.5000000000036</v>
      </c>
      <c r="C108" s="105">
        <f>C104-C105-C106</f>
        <v>7564.5</v>
      </c>
      <c r="D108" s="105">
        <f>D104-D105-D106</f>
        <v>778.1000000000058</v>
      </c>
      <c r="E108" s="106">
        <f>D108/D104*100</f>
        <v>3.636338145332045</v>
      </c>
      <c r="F108" s="106">
        <f t="shared" si="16"/>
        <v>24.62731444848884</v>
      </c>
      <c r="G108" s="106">
        <f t="shared" si="13"/>
        <v>10.286205301077478</v>
      </c>
      <c r="H108" s="107">
        <f t="shared" si="14"/>
        <v>2381.399999999998</v>
      </c>
      <c r="I108" s="107">
        <f t="shared" si="15"/>
        <v>6786.399999999994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210245.89999999997</v>
      </c>
      <c r="C109" s="63">
        <f>SUM(C110:C153)-C117-C122+C154-C144-C145-C111-C114-C125-C126-C142-C135-C133-C140-C120</f>
        <v>644516.3</v>
      </c>
      <c r="D109" s="63">
        <f>SUM(D110:D153)-D117-D122+D154-D144-D145-D111-D114-D125-D126-D142-D135-D133-D140-D120</f>
        <v>191957.28517</v>
      </c>
      <c r="E109" s="64">
        <f>D109/D156*100</f>
        <v>23.24408347222515</v>
      </c>
      <c r="F109" s="64">
        <f>D109/B109*100</f>
        <v>91.30132153349959</v>
      </c>
      <c r="G109" s="64">
        <f t="shared" si="13"/>
        <v>29.783154463277338</v>
      </c>
      <c r="H109" s="63">
        <f t="shared" si="14"/>
        <v>18288.614829999977</v>
      </c>
      <c r="I109" s="63">
        <f t="shared" si="15"/>
        <v>452559.01483000006</v>
      </c>
      <c r="J109" s="97"/>
    </row>
    <row r="110" spans="1:9" s="135" customFormat="1" ht="37.5">
      <c r="A110" s="150" t="s">
        <v>50</v>
      </c>
      <c r="B110" s="151">
        <v>2164</v>
      </c>
      <c r="C110" s="131">
        <v>4983.7</v>
      </c>
      <c r="D110" s="85">
        <f>1.8+140.5+138.5+0.9+33+80.9+13.3+0.1+53.3+109+1.4+124.9+19.8+24.9+9+3.6+91.3+61.8+18.7+59+14.7+34.7+0.1+2.2+3.8+2.1+129.5+15.3+0.5-0.3+15.6</f>
        <v>1203.8999999999996</v>
      </c>
      <c r="E110" s="86">
        <f>D110/D109*100</f>
        <v>0.6271707786103609</v>
      </c>
      <c r="F110" s="86">
        <f t="shared" si="16"/>
        <v>55.63308687615525</v>
      </c>
      <c r="G110" s="86">
        <f t="shared" si="13"/>
        <v>24.15675100828701</v>
      </c>
      <c r="H110" s="87">
        <f t="shared" si="14"/>
        <v>960.1000000000004</v>
      </c>
      <c r="I110" s="87">
        <f t="shared" si="15"/>
        <v>3779.8</v>
      </c>
    </row>
    <row r="111" spans="1:9" s="135" customFormat="1" ht="18">
      <c r="A111" s="89" t="s">
        <v>23</v>
      </c>
      <c r="B111" s="90">
        <v>1072.2</v>
      </c>
      <c r="C111" s="91">
        <v>2332.2</v>
      </c>
      <c r="D111" s="92">
        <f>2.4+138.5+0.9+33.1+80.9+53.3+1.8+1.1+124.9+24.9+6.2+38.5+59+14.7+33.9+0.6+2.3</f>
        <v>617</v>
      </c>
      <c r="E111" s="93">
        <f>D111/D110*100</f>
        <v>51.250103829221715</v>
      </c>
      <c r="F111" s="93">
        <f t="shared" si="16"/>
        <v>57.54523409811602</v>
      </c>
      <c r="G111" s="93">
        <f t="shared" si="13"/>
        <v>26.455707057713752</v>
      </c>
      <c r="H111" s="91">
        <f t="shared" si="14"/>
        <v>455.20000000000005</v>
      </c>
      <c r="I111" s="91">
        <f t="shared" si="15"/>
        <v>1715.1999999999998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3">
        <v>25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25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90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3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9" s="135" customFormat="1" ht="37.5">
      <c r="A116" s="152" t="s">
        <v>36</v>
      </c>
      <c r="B116" s="153">
        <v>2520.5</v>
      </c>
      <c r="C116" s="87">
        <v>5785.2</v>
      </c>
      <c r="D116" s="85">
        <f>187.7+10.4+531.5+38.4+44.9+0.1+53.3+13.7+14.6+4.3+409.7+22.6+33.2+12.9+10.1+431+0.1</f>
        <v>1818.4999999999998</v>
      </c>
      <c r="E116" s="86">
        <f>D116/D109*100</f>
        <v>0.9473461756814863</v>
      </c>
      <c r="F116" s="86">
        <f t="shared" si="16"/>
        <v>72.14838325729022</v>
      </c>
      <c r="G116" s="86">
        <f t="shared" si="13"/>
        <v>31.433658300490908</v>
      </c>
      <c r="H116" s="87">
        <f t="shared" si="14"/>
        <v>702.0000000000002</v>
      </c>
      <c r="I116" s="87">
        <f t="shared" si="15"/>
        <v>3966.7</v>
      </c>
    </row>
    <row r="117" spans="1:9" s="135" customFormat="1" ht="18" hidden="1">
      <c r="A117" s="154" t="s">
        <v>41</v>
      </c>
      <c r="B117" s="90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3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3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90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3">
        <v>507.7</v>
      </c>
      <c r="C121" s="94">
        <v>1024.8</v>
      </c>
      <c r="D121" s="85">
        <f>80.5+0.2+38.8+80.5+0.8+10+10.3+80.5+16.8+0.3+4+80.5+10+10+0.3</f>
        <v>423.50000000000006</v>
      </c>
      <c r="E121" s="86">
        <f>D121/D109*100</f>
        <v>0.22062199912076413</v>
      </c>
      <c r="F121" s="86">
        <f t="shared" si="16"/>
        <v>83.41540279692732</v>
      </c>
      <c r="G121" s="86">
        <f t="shared" si="13"/>
        <v>41.325136612021865</v>
      </c>
      <c r="H121" s="87">
        <f t="shared" si="14"/>
        <v>84.19999999999993</v>
      </c>
      <c r="I121" s="87">
        <f t="shared" si="15"/>
        <v>601.3</v>
      </c>
    </row>
    <row r="122" spans="1:9" s="98" customFormat="1" ht="18">
      <c r="A122" s="154" t="s">
        <v>41</v>
      </c>
      <c r="B122" s="90">
        <v>402.6</v>
      </c>
      <c r="C122" s="91">
        <v>724.7</v>
      </c>
      <c r="D122" s="92">
        <f>80.5+80.5+80.5+80.5+0.1</f>
        <v>322.1</v>
      </c>
      <c r="E122" s="93">
        <f>D122/D121*100</f>
        <v>76.05667060212514</v>
      </c>
      <c r="F122" s="93">
        <f t="shared" si="16"/>
        <v>80.00496770988575</v>
      </c>
      <c r="G122" s="93">
        <f t="shared" si="13"/>
        <v>44.445977645922454</v>
      </c>
      <c r="H122" s="91">
        <f t="shared" si="14"/>
        <v>80.5</v>
      </c>
      <c r="I122" s="91">
        <f t="shared" si="15"/>
        <v>402.6</v>
      </c>
    </row>
    <row r="123" spans="1:9" s="97" customFormat="1" ht="18.75">
      <c r="A123" s="152" t="s">
        <v>102</v>
      </c>
      <c r="B123" s="153">
        <v>115</v>
      </c>
      <c r="C123" s="94">
        <v>347</v>
      </c>
      <c r="D123" s="85">
        <f>34.5+13.8</f>
        <v>48.3</v>
      </c>
      <c r="E123" s="86">
        <f>D123/D109*100</f>
        <v>0.025161847833607805</v>
      </c>
      <c r="F123" s="86">
        <f t="shared" si="16"/>
        <v>42</v>
      </c>
      <c r="G123" s="86">
        <f t="shared" si="13"/>
        <v>13.919308357348703</v>
      </c>
      <c r="H123" s="87">
        <f t="shared" si="14"/>
        <v>66.7</v>
      </c>
      <c r="I123" s="87">
        <f t="shared" si="15"/>
        <v>298.7</v>
      </c>
    </row>
    <row r="124" spans="1:9" s="97" customFormat="1" ht="21.75" customHeight="1">
      <c r="A124" s="152" t="s">
        <v>92</v>
      </c>
      <c r="B124" s="153">
        <v>12</v>
      </c>
      <c r="C124" s="94">
        <f>86+920</f>
        <v>1006</v>
      </c>
      <c r="D124" s="95"/>
      <c r="E124" s="96">
        <f>D124/D109*100</f>
        <v>0</v>
      </c>
      <c r="F124" s="86">
        <f t="shared" si="16"/>
        <v>0</v>
      </c>
      <c r="G124" s="86">
        <f t="shared" si="13"/>
        <v>0</v>
      </c>
      <c r="H124" s="87">
        <f t="shared" si="14"/>
        <v>12</v>
      </c>
      <c r="I124" s="87">
        <f t="shared" si="15"/>
        <v>1006</v>
      </c>
    </row>
    <row r="125" spans="1:9" s="99" customFormat="1" ht="18" hidden="1">
      <c r="A125" s="89" t="s">
        <v>78</v>
      </c>
      <c r="B125" s="90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90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3">
        <v>10551.3</v>
      </c>
      <c r="C127" s="94">
        <f>6156.2+17413.5</f>
        <v>23569.7</v>
      </c>
      <c r="D127" s="95">
        <f>871.9+408.1+585.9+900.5+901.8+879.7+893+994.8+887.7+852.4+0.1</f>
        <v>8175.9</v>
      </c>
      <c r="E127" s="96">
        <f>D127/D109*100</f>
        <v>4.259228813722444</v>
      </c>
      <c r="F127" s="86">
        <f t="shared" si="16"/>
        <v>77.48713428677036</v>
      </c>
      <c r="G127" s="86">
        <f t="shared" si="13"/>
        <v>34.68818016351502</v>
      </c>
      <c r="H127" s="87">
        <f t="shared" si="14"/>
        <v>2375.3999999999996</v>
      </c>
      <c r="I127" s="87">
        <f t="shared" si="15"/>
        <v>15393.800000000001</v>
      </c>
      <c r="K127" s="88">
        <f>H110+H113+H116+H121+H123+H129+H130+H132+H134+H138+H139+H141+H150+H70</f>
        <v>3392.0000000000005</v>
      </c>
    </row>
    <row r="128" spans="1:9" s="97" customFormat="1" ht="18.75" hidden="1">
      <c r="A128" s="152" t="s">
        <v>89</v>
      </c>
      <c r="B128" s="153"/>
      <c r="C128" s="94"/>
      <c r="D128" s="95"/>
      <c r="E128" s="96">
        <f>D128/D109*100</f>
        <v>0</v>
      </c>
      <c r="F128" s="86" t="e">
        <f t="shared" si="16"/>
        <v>#DIV/0!</v>
      </c>
      <c r="G128" s="86" t="e">
        <f t="shared" si="13"/>
        <v>#DIV/0!</v>
      </c>
      <c r="H128" s="87">
        <f t="shared" si="14"/>
        <v>0</v>
      </c>
      <c r="I128" s="87">
        <f t="shared" si="15"/>
        <v>0</v>
      </c>
    </row>
    <row r="129" spans="1:13" s="97" customFormat="1" ht="37.5">
      <c r="A129" s="152" t="s">
        <v>98</v>
      </c>
      <c r="B129" s="153">
        <v>359.5</v>
      </c>
      <c r="C129" s="94">
        <v>483</v>
      </c>
      <c r="D129" s="95">
        <v>2.2</v>
      </c>
      <c r="E129" s="96">
        <f>D129/D109*100</f>
        <v>0.0011460883071208526</v>
      </c>
      <c r="F129" s="86">
        <f t="shared" si="16"/>
        <v>0.611961057023644</v>
      </c>
      <c r="G129" s="86">
        <f t="shared" si="13"/>
        <v>0.45548654244306425</v>
      </c>
      <c r="H129" s="87">
        <f t="shared" si="14"/>
        <v>357.3</v>
      </c>
      <c r="I129" s="87">
        <f t="shared" si="15"/>
        <v>480.8</v>
      </c>
      <c r="M129" s="88"/>
    </row>
    <row r="130" spans="1:13" s="97" customFormat="1" ht="37.5">
      <c r="A130" s="152" t="s">
        <v>83</v>
      </c>
      <c r="B130" s="153">
        <v>89.3</v>
      </c>
      <c r="C130" s="94">
        <v>154.3</v>
      </c>
      <c r="D130" s="95"/>
      <c r="E130" s="96">
        <f>D130/D109*100</f>
        <v>0</v>
      </c>
      <c r="F130" s="86">
        <f t="shared" si="16"/>
        <v>0</v>
      </c>
      <c r="G130" s="86">
        <f t="shared" si="13"/>
        <v>0</v>
      </c>
      <c r="H130" s="87">
        <f t="shared" si="14"/>
        <v>89.3</v>
      </c>
      <c r="I130" s="87">
        <f t="shared" si="15"/>
        <v>154.3</v>
      </c>
      <c r="M130" s="88"/>
    </row>
    <row r="131" spans="1:9" s="97" customFormat="1" ht="18.75" hidden="1">
      <c r="A131" s="154" t="s">
        <v>81</v>
      </c>
      <c r="B131" s="153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3">
        <v>248.5</v>
      </c>
      <c r="C132" s="94">
        <v>1003.9</v>
      </c>
      <c r="D132" s="95">
        <f>7.7+12.9+2.8+0.3+0.9+48+9.2+16+18.7+7+7.7+1.3+0.4+12+8.8+4.3</f>
        <v>158.00000000000003</v>
      </c>
      <c r="E132" s="96">
        <f>D132/D109*100</f>
        <v>0.0823099784204976</v>
      </c>
      <c r="F132" s="86">
        <f t="shared" si="16"/>
        <v>63.58148893360163</v>
      </c>
      <c r="G132" s="86">
        <f t="shared" si="13"/>
        <v>15.73861938440084</v>
      </c>
      <c r="H132" s="87">
        <f t="shared" si="14"/>
        <v>90.49999999999997</v>
      </c>
      <c r="I132" s="87">
        <f t="shared" si="15"/>
        <v>845.9</v>
      </c>
      <c r="M132" s="88"/>
    </row>
    <row r="133" spans="1:13" s="98" customFormat="1" ht="18">
      <c r="A133" s="89" t="s">
        <v>86</v>
      </c>
      <c r="B133" s="90">
        <v>101.9</v>
      </c>
      <c r="C133" s="91">
        <v>553.3</v>
      </c>
      <c r="D133" s="92">
        <f>7.7+48+7.7+7.7+7.7</f>
        <v>78.80000000000001</v>
      </c>
      <c r="E133" s="93">
        <f>D133/D132*100</f>
        <v>49.87341772151899</v>
      </c>
      <c r="F133" s="93">
        <f>D133/B133*100</f>
        <v>77.3307163886163</v>
      </c>
      <c r="G133" s="93">
        <f t="shared" si="13"/>
        <v>14.241821796493767</v>
      </c>
      <c r="H133" s="91">
        <f t="shared" si="14"/>
        <v>23.099999999999994</v>
      </c>
      <c r="I133" s="91">
        <f t="shared" si="15"/>
        <v>474.49999999999994</v>
      </c>
      <c r="M133" s="128"/>
    </row>
    <row r="134" spans="1:9" s="97" customFormat="1" ht="37.5">
      <c r="A134" s="152" t="s">
        <v>101</v>
      </c>
      <c r="B134" s="153">
        <v>25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25</v>
      </c>
      <c r="I134" s="87">
        <f t="shared" si="15"/>
        <v>250</v>
      </c>
    </row>
    <row r="135" spans="1:9" s="98" customFormat="1" ht="18" hidden="1">
      <c r="A135" s="154" t="s">
        <v>41</v>
      </c>
      <c r="B135" s="90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3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3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3">
        <v>1235.5</v>
      </c>
      <c r="C138" s="94">
        <v>2964.5</v>
      </c>
      <c r="D138" s="95">
        <f>203+174+113.5+76.2</f>
        <v>566.7</v>
      </c>
      <c r="E138" s="96">
        <f>D138/D109*100</f>
        <v>0.29522192892972143</v>
      </c>
      <c r="F138" s="86">
        <f t="shared" si="16"/>
        <v>45.86806960744638</v>
      </c>
      <c r="G138" s="86">
        <f t="shared" si="13"/>
        <v>19.11620846685782</v>
      </c>
      <c r="H138" s="87">
        <f t="shared" si="14"/>
        <v>668.8</v>
      </c>
      <c r="I138" s="87">
        <f t="shared" si="15"/>
        <v>2397.8</v>
      </c>
    </row>
    <row r="139" spans="1:9" s="97" customFormat="1" ht="39" customHeight="1">
      <c r="A139" s="152" t="s">
        <v>52</v>
      </c>
      <c r="B139" s="153">
        <v>110</v>
      </c>
      <c r="C139" s="94">
        <v>350</v>
      </c>
      <c r="D139" s="95"/>
      <c r="E139" s="96">
        <f>D139/D109*100</f>
        <v>0</v>
      </c>
      <c r="F139" s="86">
        <f t="shared" si="16"/>
        <v>0</v>
      </c>
      <c r="G139" s="86">
        <f t="shared" si="13"/>
        <v>0</v>
      </c>
      <c r="H139" s="87">
        <f t="shared" si="14"/>
        <v>110</v>
      </c>
      <c r="I139" s="87">
        <f t="shared" si="15"/>
        <v>350</v>
      </c>
    </row>
    <row r="140" spans="1:9" s="98" customFormat="1" ht="18">
      <c r="A140" s="89" t="s">
        <v>86</v>
      </c>
      <c r="B140" s="90">
        <v>35</v>
      </c>
      <c r="C140" s="91">
        <v>110</v>
      </c>
      <c r="D140" s="92"/>
      <c r="E140" s="93"/>
      <c r="F140" s="86">
        <f>D140/B140*100</f>
        <v>0</v>
      </c>
      <c r="G140" s="93">
        <f>D140/C140*100</f>
        <v>0</v>
      </c>
      <c r="H140" s="91">
        <f>B140-D140</f>
        <v>35</v>
      </c>
      <c r="I140" s="91">
        <f>C140-D140</f>
        <v>110</v>
      </c>
    </row>
    <row r="141" spans="1:9" s="97" customFormat="1" ht="32.25" customHeight="1">
      <c r="A141" s="152" t="s">
        <v>82</v>
      </c>
      <c r="B141" s="153">
        <v>290.9</v>
      </c>
      <c r="C141" s="94">
        <v>642.9</v>
      </c>
      <c r="D141" s="95">
        <f>3.4+29.8+0.5+0.6+0.5+7+95+1+3.4+1.6+21.9+0.5+0.2+14.5</f>
        <v>179.9</v>
      </c>
      <c r="E141" s="96">
        <f>D141/D109*100</f>
        <v>0.09371876656865516</v>
      </c>
      <c r="F141" s="86">
        <f>D141/B141*100</f>
        <v>61.84255757992438</v>
      </c>
      <c r="G141" s="86">
        <f>D141/C141*100</f>
        <v>27.982578939181835</v>
      </c>
      <c r="H141" s="87">
        <f t="shared" si="14"/>
        <v>110.99999999999997</v>
      </c>
      <c r="I141" s="87">
        <f t="shared" si="15"/>
        <v>463</v>
      </c>
    </row>
    <row r="142" spans="1:9" s="98" customFormat="1" ht="18">
      <c r="A142" s="89" t="s">
        <v>23</v>
      </c>
      <c r="B142" s="90">
        <v>240.9</v>
      </c>
      <c r="C142" s="91">
        <v>524.9</v>
      </c>
      <c r="D142" s="92">
        <f>0.4+29.8+0.5+0.6+95+0.7+18.5+0.5+14.5</f>
        <v>160.5</v>
      </c>
      <c r="E142" s="93">
        <f>D142/D141*100</f>
        <v>89.21623123957754</v>
      </c>
      <c r="F142" s="93">
        <f t="shared" si="16"/>
        <v>66.62515566625156</v>
      </c>
      <c r="G142" s="93">
        <f>D142/C142*100</f>
        <v>30.577252810059058</v>
      </c>
      <c r="H142" s="91">
        <f t="shared" si="14"/>
        <v>80.4</v>
      </c>
      <c r="I142" s="91">
        <f t="shared" si="15"/>
        <v>364.4</v>
      </c>
    </row>
    <row r="143" spans="1:9" s="97" customFormat="1" ht="18.75">
      <c r="A143" s="152" t="s">
        <v>94</v>
      </c>
      <c r="B143" s="153">
        <v>897.2</v>
      </c>
      <c r="C143" s="94">
        <v>2262.8</v>
      </c>
      <c r="D143" s="95">
        <f>33.6+100.1+61.4+1.9+88.9+76.4+140.9+13.9+60.1+109.3+18.6</f>
        <v>705.0999999999999</v>
      </c>
      <c r="E143" s="96">
        <f>D143/D109*100</f>
        <v>0.36732130243223315</v>
      </c>
      <c r="F143" s="86">
        <f t="shared" si="16"/>
        <v>78.58894337940258</v>
      </c>
      <c r="G143" s="86">
        <f t="shared" si="13"/>
        <v>31.16050910376524</v>
      </c>
      <c r="H143" s="87">
        <f t="shared" si="14"/>
        <v>192.10000000000014</v>
      </c>
      <c r="I143" s="87">
        <f t="shared" si="15"/>
        <v>1557.7000000000003</v>
      </c>
    </row>
    <row r="144" spans="1:9" s="98" customFormat="1" ht="18">
      <c r="A144" s="154" t="s">
        <v>41</v>
      </c>
      <c r="B144" s="90">
        <v>679.2</v>
      </c>
      <c r="C144" s="91">
        <v>1867.4</v>
      </c>
      <c r="D144" s="92">
        <f>33.6+99.1+51.9+81.4+59+82.2+5.6+57.6+68.8+16.1-2.2</f>
        <v>553.1</v>
      </c>
      <c r="E144" s="93">
        <f>D144/D143*100</f>
        <v>78.44277407459937</v>
      </c>
      <c r="F144" s="93">
        <f t="shared" si="16"/>
        <v>81.43404004711425</v>
      </c>
      <c r="G144" s="93">
        <f t="shared" si="13"/>
        <v>29.618721216664884</v>
      </c>
      <c r="H144" s="91">
        <f t="shared" si="14"/>
        <v>126.10000000000002</v>
      </c>
      <c r="I144" s="91">
        <f t="shared" si="15"/>
        <v>1314.3000000000002</v>
      </c>
    </row>
    <row r="145" spans="1:9" s="98" customFormat="1" ht="18">
      <c r="A145" s="89" t="s">
        <v>23</v>
      </c>
      <c r="B145" s="90">
        <v>27.9</v>
      </c>
      <c r="C145" s="91">
        <v>48</v>
      </c>
      <c r="D145" s="92">
        <f>9.3+7.4+6+0.1+2.5</f>
        <v>25.300000000000004</v>
      </c>
      <c r="E145" s="93">
        <f>D145/D143*100</f>
        <v>3.5881435257410303</v>
      </c>
      <c r="F145" s="93">
        <f t="shared" si="16"/>
        <v>90.68100358422942</v>
      </c>
      <c r="G145" s="93">
        <f>D145/C145*100</f>
        <v>52.70833333333334</v>
      </c>
      <c r="H145" s="91">
        <f t="shared" si="14"/>
        <v>2.5999999999999943</v>
      </c>
      <c r="I145" s="91">
        <f t="shared" si="15"/>
        <v>22.699999999999996</v>
      </c>
    </row>
    <row r="146" spans="1:9" s="97" customFormat="1" ht="33.75" customHeight="1">
      <c r="A146" s="149" t="s">
        <v>54</v>
      </c>
      <c r="B146" s="153">
        <v>563</v>
      </c>
      <c r="C146" s="94">
        <v>961</v>
      </c>
      <c r="D146" s="95">
        <v>563</v>
      </c>
      <c r="E146" s="96">
        <f>D146/D109*100</f>
        <v>0.2932944167768363</v>
      </c>
      <c r="F146" s="86">
        <f t="shared" si="16"/>
        <v>100</v>
      </c>
      <c r="G146" s="86">
        <f t="shared" si="13"/>
        <v>58.58480749219564</v>
      </c>
      <c r="H146" s="87">
        <f t="shared" si="14"/>
        <v>0</v>
      </c>
      <c r="I146" s="87">
        <f t="shared" si="15"/>
        <v>398</v>
      </c>
    </row>
    <row r="147" spans="1:9" s="97" customFormat="1" ht="18.75" hidden="1">
      <c r="A147" s="149" t="s">
        <v>90</v>
      </c>
      <c r="B147" s="153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3">
        <v>63866.9</v>
      </c>
      <c r="C148" s="94">
        <f>148561.8-115.4</f>
        <v>148446.4</v>
      </c>
      <c r="D148" s="95">
        <f>457.7+20.2+2395.4+103.8+376.7+1013.1+85.7+519.6+3989.1+192.1+9596.6+54.9+0.1+1136.8+45.8+142.4+633.4+904.4+5049.6+60.3+794.6+1729.3+2357+1916.4+610.8+432.8+777.3+690.7+110.8+5866.7+417+7410.2+1284.9+26.5-0.4+5739.9+1034.3</f>
        <v>57976.50000000001</v>
      </c>
      <c r="E148" s="96">
        <f>D148/D109*100</f>
        <v>30.202813062632778</v>
      </c>
      <c r="F148" s="86">
        <f t="shared" si="16"/>
        <v>90.77706918607292</v>
      </c>
      <c r="G148" s="86">
        <f t="shared" si="13"/>
        <v>39.055510945364794</v>
      </c>
      <c r="H148" s="87">
        <f t="shared" si="14"/>
        <v>5890.399999999994</v>
      </c>
      <c r="I148" s="87">
        <f t="shared" si="15"/>
        <v>90469.9</v>
      </c>
    </row>
    <row r="149" spans="1:9" s="97" customFormat="1" ht="18.75" hidden="1">
      <c r="A149" s="149" t="s">
        <v>84</v>
      </c>
      <c r="B149" s="153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3">
        <v>22</v>
      </c>
      <c r="C150" s="94">
        <v>50</v>
      </c>
      <c r="D150" s="95">
        <f>1+0.7+0.3+0.3</f>
        <v>2.3</v>
      </c>
      <c r="E150" s="96">
        <f>D150/D111*100</f>
        <v>0.3727714748784441</v>
      </c>
      <c r="F150" s="86">
        <f>D150/B150*100</f>
        <v>10.454545454545453</v>
      </c>
      <c r="G150" s="86">
        <f>D150/C150*100</f>
        <v>4.6</v>
      </c>
      <c r="H150" s="87">
        <f>B150-D150</f>
        <v>19.7</v>
      </c>
      <c r="I150" s="87">
        <f>C150-D150</f>
        <v>47.7</v>
      </c>
    </row>
    <row r="151" spans="1:9" s="97" customFormat="1" ht="18.75">
      <c r="A151" s="152" t="s">
        <v>96</v>
      </c>
      <c r="B151" s="153">
        <v>29.5</v>
      </c>
      <c r="C151" s="94">
        <v>93.9</v>
      </c>
      <c r="D151" s="95">
        <f>29.5</f>
        <v>29.5</v>
      </c>
      <c r="E151" s="96">
        <f>D151/D109*100</f>
        <v>0.015368002300029611</v>
      </c>
      <c r="F151" s="86">
        <f t="shared" si="16"/>
        <v>100</v>
      </c>
      <c r="G151" s="86">
        <f t="shared" si="13"/>
        <v>31.416400425985085</v>
      </c>
      <c r="H151" s="87">
        <f t="shared" si="14"/>
        <v>0</v>
      </c>
      <c r="I151" s="87">
        <f t="shared" si="15"/>
        <v>64.4</v>
      </c>
    </row>
    <row r="152" spans="1:9" s="97" customFormat="1" ht="18" customHeight="1">
      <c r="A152" s="152" t="s">
        <v>75</v>
      </c>
      <c r="B152" s="153">
        <f>185.6+4770+1572.6</f>
        <v>6528.200000000001</v>
      </c>
      <c r="C152" s="94">
        <f>509.5+13731.5</f>
        <v>14241</v>
      </c>
      <c r="D152" s="95">
        <f>469.6+898.6+871.8+55+430.7+600.4+36+430.7-0.1</f>
        <v>3792.7</v>
      </c>
      <c r="E152" s="96">
        <f>D152/D109*100</f>
        <v>1.9758041465532985</v>
      </c>
      <c r="F152" s="86">
        <f t="shared" si="16"/>
        <v>58.097178395269744</v>
      </c>
      <c r="G152" s="86">
        <f t="shared" si="13"/>
        <v>26.63225897057791</v>
      </c>
      <c r="H152" s="87">
        <f t="shared" si="14"/>
        <v>2735.500000000001</v>
      </c>
      <c r="I152" s="87">
        <f t="shared" si="15"/>
        <v>10448.3</v>
      </c>
    </row>
    <row r="153" spans="1:9" s="97" customFormat="1" ht="19.5" customHeight="1">
      <c r="A153" s="152" t="s">
        <v>48</v>
      </c>
      <c r="B153" s="153">
        <v>91782.9</v>
      </c>
      <c r="C153" s="94">
        <f>365455.9+155.1+4856-2795.8</f>
        <v>367671.2</v>
      </c>
      <c r="D153" s="95">
        <f>9702+30405.7+10266.3+91.6-29196.2+1482.1+9293.3+20631.5+2864.5+2072.8+10611.8+26.4-6447.8-3782.8-4677.3+4676.1-2746.7-2356.3-5820.8+6091.9+14434.9+3293.3-2161.9+2161.9+253+3208.6+2572.08517+1407.2+10069.6+3344.4+11.7</f>
        <v>91782.88516999998</v>
      </c>
      <c r="E153" s="96">
        <f>D153/D109*100</f>
        <v>47.814223403251304</v>
      </c>
      <c r="F153" s="86">
        <f t="shared" si="16"/>
        <v>99.99998384230612</v>
      </c>
      <c r="G153" s="86">
        <f t="shared" si="13"/>
        <v>24.963305575742666</v>
      </c>
      <c r="H153" s="87">
        <f t="shared" si="14"/>
        <v>0.014830000014626421</v>
      </c>
      <c r="I153" s="87">
        <f>C153-D153</f>
        <v>275888.31483000005</v>
      </c>
    </row>
    <row r="154" spans="1:9" s="97" customFormat="1" ht="18.75">
      <c r="A154" s="152" t="s">
        <v>97</v>
      </c>
      <c r="B154" s="153">
        <f>22641.6+5660.4</f>
        <v>28302</v>
      </c>
      <c r="C154" s="94">
        <v>67925</v>
      </c>
      <c r="D154" s="95">
        <f>1886.8+1886.8+1886.8+1886.8+1886.8+1886.8+1886.8+1886.8+1886.8+1886.8+1886.8+1886.8+1886.8</f>
        <v>24528.399999999994</v>
      </c>
      <c r="E154" s="96">
        <f>D154/D109*100</f>
        <v>12.778051105628688</v>
      </c>
      <c r="F154" s="86">
        <f t="shared" si="16"/>
        <v>86.66666666666664</v>
      </c>
      <c r="G154" s="86">
        <f t="shared" si="13"/>
        <v>36.11100478468899</v>
      </c>
      <c r="H154" s="87">
        <f t="shared" si="14"/>
        <v>3773.600000000006</v>
      </c>
      <c r="I154" s="87">
        <f t="shared" si="15"/>
        <v>43396.600000000006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213820.28517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1038498.8</v>
      </c>
      <c r="C156" s="36">
        <f>C6+C18+C33+C43+C52+C60+C70+C74+C79+C81+C89+C92+C97+C104+C109+C102+C86+C100+C46</f>
        <v>2507982.5000000005</v>
      </c>
      <c r="D156" s="36">
        <f>D6+D18+D33+D43+D52+D60+D70+D74+D79+D81+D89+D92+D97+D104+D109+D102+D86+D100+D46</f>
        <v>825832.8851699997</v>
      </c>
      <c r="E156" s="25">
        <v>100</v>
      </c>
      <c r="F156" s="3">
        <f>D156/B156*100</f>
        <v>79.52179484174653</v>
      </c>
      <c r="G156" s="3">
        <f aca="true" t="shared" si="17" ref="G156:G162">D156/C156*100</f>
        <v>32.928175741656865</v>
      </c>
      <c r="H156" s="36">
        <f>B156-D156</f>
        <v>212665.91483000037</v>
      </c>
      <c r="I156" s="36">
        <f aca="true" t="shared" si="18" ref="I156:I162">C156-D156</f>
        <v>1682149.6148300008</v>
      </c>
      <c r="K156" s="136">
        <f>D156-114199.9-202905.8-214631.3-204053.8</f>
        <v>90042.08516999969</v>
      </c>
    </row>
    <row r="157" spans="1:9" ht="18.75">
      <c r="A157" s="15" t="s">
        <v>5</v>
      </c>
      <c r="B157" s="47">
        <f>B8+B20+B34+B53+B61+B93+B117+B122+B47+B144+B135+B105</f>
        <v>443376.4999999999</v>
      </c>
      <c r="C157" s="47">
        <f>C8+C20+C34+C53+C61+C93+C117+C122+C47+C144+C135+C105</f>
        <v>988150.6</v>
      </c>
      <c r="D157" s="47">
        <f>D8+D20+D34+D53+D61+D93+D117+D122+D47+D144+D135+D105</f>
        <v>343914</v>
      </c>
      <c r="E157" s="6">
        <f>D157/D156*100</f>
        <v>41.64450292255006</v>
      </c>
      <c r="F157" s="6">
        <f aca="true" t="shared" si="19" ref="F157:F162">D157/B157*100</f>
        <v>77.56703388655016</v>
      </c>
      <c r="G157" s="6">
        <f t="shared" si="17"/>
        <v>34.80380419745735</v>
      </c>
      <c r="H157" s="48">
        <f aca="true" t="shared" si="20" ref="H157:H162">B157-D157</f>
        <v>99462.49999999988</v>
      </c>
      <c r="I157" s="58">
        <f t="shared" si="18"/>
        <v>644236.6</v>
      </c>
    </row>
    <row r="158" spans="1:9" ht="18.75">
      <c r="A158" s="15" t="s">
        <v>0</v>
      </c>
      <c r="B158" s="87">
        <f>B11+B23+B36+B56+B63+B94+B50+B145+B111+B114+B98+B142+B131</f>
        <v>72985.99999999997</v>
      </c>
      <c r="C158" s="87">
        <f>C11+C23+C36+C56+C63+C94+C50+C145+C111+C114+C98+C142+C131</f>
        <v>125182.7</v>
      </c>
      <c r="D158" s="87">
        <f>D11+D23+D36+D56+D63+D94+D50+D145+D111+D114+D98+D142+D131</f>
        <v>54844.19999999999</v>
      </c>
      <c r="E158" s="6">
        <f>D158/D156*100</f>
        <v>6.641077266947317</v>
      </c>
      <c r="F158" s="6">
        <f t="shared" si="19"/>
        <v>75.14345216890912</v>
      </c>
      <c r="G158" s="6">
        <f t="shared" si="17"/>
        <v>43.81132536684381</v>
      </c>
      <c r="H158" s="48">
        <f>B158-D158</f>
        <v>18141.79999999998</v>
      </c>
      <c r="I158" s="58">
        <f t="shared" si="18"/>
        <v>70338.5</v>
      </c>
    </row>
    <row r="159" spans="1:9" ht="18.75">
      <c r="A159" s="15" t="s">
        <v>1</v>
      </c>
      <c r="B159" s="142">
        <f>B22+B10+B55+B49+B62+B35+B126</f>
        <v>26552.199999999997</v>
      </c>
      <c r="C159" s="142">
        <f>C22+C10+C55+C49+C62+C35+C126</f>
        <v>48135.3</v>
      </c>
      <c r="D159" s="142">
        <f>D22+D10+D55+D49+D62+D35+D126</f>
        <v>19904.6</v>
      </c>
      <c r="E159" s="6">
        <f>D159/D156*100</f>
        <v>2.4102455057723438</v>
      </c>
      <c r="F159" s="6">
        <f t="shared" si="19"/>
        <v>74.96403311213383</v>
      </c>
      <c r="G159" s="6">
        <f t="shared" si="17"/>
        <v>41.35135752763564</v>
      </c>
      <c r="H159" s="48">
        <f t="shared" si="20"/>
        <v>6647.5999999999985</v>
      </c>
      <c r="I159" s="58">
        <f t="shared" si="18"/>
        <v>28230.700000000004</v>
      </c>
    </row>
    <row r="160" spans="1:9" ht="21" customHeight="1">
      <c r="A160" s="15" t="s">
        <v>12</v>
      </c>
      <c r="B160" s="142">
        <f>B12+B24+B106+B64+B38+B95+B133+B57+B140+B120+B44+B73</f>
        <v>33774.700000000004</v>
      </c>
      <c r="C160" s="142">
        <f>C12+C24+C106+C64+C38+C95+C133+C57+C140+C120+C44+C73</f>
        <v>89055.8</v>
      </c>
      <c r="D160" s="142">
        <f>D12+D24+D106+D64+D38+D95+D133+D57+D140+D120+D44+D73</f>
        <v>25884.6</v>
      </c>
      <c r="E160" s="6">
        <f>D160/D156*100</f>
        <v>3.1343629522178196</v>
      </c>
      <c r="F160" s="6">
        <f>D160/B160*100</f>
        <v>76.63902270042368</v>
      </c>
      <c r="G160" s="6">
        <f t="shared" si="17"/>
        <v>29.065597075092242</v>
      </c>
      <c r="H160" s="48">
        <f>B160-D160</f>
        <v>7890.100000000006</v>
      </c>
      <c r="I160" s="58">
        <f t="shared" si="18"/>
        <v>63171.200000000004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36.599999999999994</v>
      </c>
      <c r="E161" s="6">
        <f>D161/D156*100</f>
        <v>0.004431889387943881</v>
      </c>
      <c r="F161" s="6">
        <f t="shared" si="19"/>
        <v>69.58174904942965</v>
      </c>
      <c r="G161" s="6">
        <f t="shared" si="17"/>
        <v>29.78030919446704</v>
      </c>
      <c r="H161" s="48">
        <f t="shared" si="20"/>
        <v>16.000000000000007</v>
      </c>
      <c r="I161" s="58">
        <f t="shared" si="18"/>
        <v>86.30000000000001</v>
      </c>
    </row>
    <row r="162" spans="1:9" ht="19.5" thickBot="1">
      <c r="A162" s="80" t="s">
        <v>25</v>
      </c>
      <c r="B162" s="60">
        <f>B156-B157-B158-B159-B160-B161</f>
        <v>461756.80000000016</v>
      </c>
      <c r="C162" s="60">
        <f>C156-C157-C158-C159-C160-C161</f>
        <v>1257335.2000000004</v>
      </c>
      <c r="D162" s="60">
        <f>D156-D157-D158-D159-D160-D161</f>
        <v>381248.88516999973</v>
      </c>
      <c r="E162" s="28">
        <f>D162/D156*100</f>
        <v>46.16537946312452</v>
      </c>
      <c r="F162" s="28">
        <f t="shared" si="19"/>
        <v>82.56486643401885</v>
      </c>
      <c r="G162" s="28">
        <f t="shared" si="17"/>
        <v>30.321976603375106</v>
      </c>
      <c r="H162" s="81">
        <f t="shared" si="20"/>
        <v>80507.91483000043</v>
      </c>
      <c r="I162" s="81">
        <f t="shared" si="18"/>
        <v>876086.3148300007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825832.8851699997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825832.8851699997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2019-05-11T10:55:05Z</cp:lastPrinted>
  <dcterms:created xsi:type="dcterms:W3CDTF">2000-06-20T04:48:00Z</dcterms:created>
  <dcterms:modified xsi:type="dcterms:W3CDTF">2019-05-13T13:10:23Z</dcterms:modified>
  <cp:category/>
  <cp:version/>
  <cp:contentType/>
  <cp:contentStatus/>
</cp:coreProperties>
</file>